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codeName="ЭтаКнига" defaultThemeVersion="124226"/>
  <bookViews>
    <workbookView xWindow="-120" yWindow="-120" windowWidth="29040" windowHeight="15840"/>
  </bookViews>
  <sheets>
    <sheet name="Лист1" sheetId="1" r:id="rId1"/>
    <sheet name="Лист2" sheetId="2" state="hidden" r:id="rId2"/>
    <sheet name="Лист3" sheetId="3" state="hidden" r:id="rId3"/>
  </sheets>
  <definedNames>
    <definedName name="Тип_профиля">Лист3!#REF!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48" i="2" l="1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47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28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09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390" i="2"/>
  <c r="A11" i="1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71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52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33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14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295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76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57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38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19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00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81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62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43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24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05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86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67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48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29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10" i="2"/>
  <c r="A9" i="1"/>
  <c r="A10" i="1"/>
  <c r="A12" i="1"/>
  <c r="A13" i="1"/>
  <c r="A16" i="1"/>
  <c r="A17" i="1"/>
  <c r="A18" i="1"/>
  <c r="A14" i="1"/>
  <c r="A15" i="1"/>
  <c r="A19" i="1"/>
  <c r="A20" i="1"/>
  <c r="A21" i="1"/>
  <c r="A22" i="1"/>
  <c r="A8" i="1"/>
  <c r="C13" i="1" l="1"/>
  <c r="C11" i="1"/>
  <c r="C12" i="1"/>
  <c r="B5" i="2"/>
  <c r="B3" i="2"/>
  <c r="F450" i="2" l="1"/>
  <c r="H433" i="2"/>
  <c r="H438" i="2" s="1"/>
  <c r="D429" i="2"/>
  <c r="E430" i="2"/>
  <c r="H452" i="2"/>
  <c r="D448" i="2"/>
  <c r="D457" i="2" s="1"/>
  <c r="F431" i="2"/>
  <c r="E449" i="2"/>
  <c r="G432" i="2"/>
  <c r="G451" i="2"/>
  <c r="E434" i="2"/>
  <c r="G435" i="2"/>
  <c r="D453" i="2"/>
  <c r="H453" i="2"/>
  <c r="F454" i="2"/>
  <c r="F434" i="2"/>
  <c r="D435" i="2"/>
  <c r="H435" i="2"/>
  <c r="E453" i="2"/>
  <c r="G454" i="2"/>
  <c r="G434" i="2"/>
  <c r="E435" i="2"/>
  <c r="F453" i="2"/>
  <c r="D454" i="2"/>
  <c r="H454" i="2"/>
  <c r="D434" i="2"/>
  <c r="H434" i="2"/>
  <c r="F435" i="2"/>
  <c r="G453" i="2"/>
  <c r="E454" i="2"/>
  <c r="D428" i="2"/>
  <c r="D440" i="2" s="1"/>
  <c r="F428" i="2"/>
  <c r="F440" i="2" s="1"/>
  <c r="H428" i="2"/>
  <c r="H440" i="2" s="1"/>
  <c r="D447" i="2"/>
  <c r="D459" i="2" s="1"/>
  <c r="F447" i="2"/>
  <c r="F459" i="2" s="1"/>
  <c r="H447" i="2"/>
  <c r="H459" i="2" s="1"/>
  <c r="E428" i="2"/>
  <c r="G428" i="2"/>
  <c r="G440" i="2" s="1"/>
  <c r="E447" i="2"/>
  <c r="E459" i="2" s="1"/>
  <c r="G447" i="2"/>
  <c r="G459" i="2" s="1"/>
  <c r="G416" i="2"/>
  <c r="H415" i="2"/>
  <c r="D415" i="2"/>
  <c r="E411" i="2"/>
  <c r="H397" i="2"/>
  <c r="D397" i="2"/>
  <c r="E396" i="2"/>
  <c r="F393" i="2"/>
  <c r="H263" i="2"/>
  <c r="G244" i="2"/>
  <c r="E225" i="2"/>
  <c r="D225" i="2"/>
  <c r="G206" i="2"/>
  <c r="E187" i="2"/>
  <c r="E188" i="2"/>
  <c r="D188" i="2"/>
  <c r="F416" i="2"/>
  <c r="H414" i="2"/>
  <c r="H396" i="2"/>
  <c r="E392" i="2"/>
  <c r="H244" i="2"/>
  <c r="H206" i="2"/>
  <c r="F188" i="2"/>
  <c r="H416" i="2"/>
  <c r="D416" i="2"/>
  <c r="E415" i="2"/>
  <c r="F412" i="2"/>
  <c r="E397" i="2"/>
  <c r="F396" i="2"/>
  <c r="G394" i="2"/>
  <c r="G263" i="2"/>
  <c r="F244" i="2"/>
  <c r="H225" i="2"/>
  <c r="F206" i="2"/>
  <c r="H187" i="2"/>
  <c r="H188" i="2"/>
  <c r="E263" i="2"/>
  <c r="F187" i="2"/>
  <c r="D187" i="2"/>
  <c r="F165" i="2"/>
  <c r="E416" i="2"/>
  <c r="F415" i="2"/>
  <c r="G413" i="2"/>
  <c r="F397" i="2"/>
  <c r="G396" i="2"/>
  <c r="H395" i="2"/>
  <c r="D391" i="2"/>
  <c r="F263" i="2"/>
  <c r="E244" i="2"/>
  <c r="D244" i="2"/>
  <c r="G225" i="2"/>
  <c r="E206" i="2"/>
  <c r="D206" i="2"/>
  <c r="G187" i="2"/>
  <c r="G188" i="2"/>
  <c r="G415" i="2"/>
  <c r="D410" i="2"/>
  <c r="G397" i="2"/>
  <c r="D396" i="2"/>
  <c r="D263" i="2"/>
  <c r="F225" i="2"/>
  <c r="H409" i="2"/>
  <c r="F409" i="2"/>
  <c r="D409" i="2"/>
  <c r="G390" i="2"/>
  <c r="E390" i="2"/>
  <c r="H371" i="2"/>
  <c r="F371" i="2"/>
  <c r="D371" i="2"/>
  <c r="F352" i="2"/>
  <c r="H352" i="2"/>
  <c r="G409" i="2"/>
  <c r="E409" i="2"/>
  <c r="H390" i="2"/>
  <c r="F390" i="2"/>
  <c r="D390" i="2"/>
  <c r="G371" i="2"/>
  <c r="E371" i="2"/>
  <c r="E352" i="2"/>
  <c r="G352" i="2"/>
  <c r="D352" i="2"/>
  <c r="F168" i="2"/>
  <c r="H168" i="2"/>
  <c r="F169" i="2"/>
  <c r="H169" i="2"/>
  <c r="D168" i="2"/>
  <c r="F149" i="2"/>
  <c r="H149" i="2"/>
  <c r="F150" i="2"/>
  <c r="H150" i="2"/>
  <c r="D149" i="2"/>
  <c r="H129" i="2"/>
  <c r="F127" i="2"/>
  <c r="E130" i="2"/>
  <c r="G130" i="2"/>
  <c r="E131" i="2"/>
  <c r="G131" i="2"/>
  <c r="D131" i="2"/>
  <c r="E112" i="2"/>
  <c r="G112" i="2"/>
  <c r="E111" i="2"/>
  <c r="G111" i="2"/>
  <c r="D112" i="2"/>
  <c r="E92" i="2"/>
  <c r="G92" i="2"/>
  <c r="E93" i="2"/>
  <c r="G93" i="2"/>
  <c r="D93" i="2"/>
  <c r="E73" i="2"/>
  <c r="G73" i="2"/>
  <c r="E74" i="2"/>
  <c r="G74" i="2"/>
  <c r="D74" i="2"/>
  <c r="E54" i="2"/>
  <c r="G54" i="2"/>
  <c r="E55" i="2"/>
  <c r="G55" i="2"/>
  <c r="D55" i="2"/>
  <c r="E35" i="2"/>
  <c r="G35" i="2"/>
  <c r="E36" i="2"/>
  <c r="G36" i="2"/>
  <c r="D36" i="2"/>
  <c r="E17" i="2"/>
  <c r="G17" i="2"/>
  <c r="E16" i="2"/>
  <c r="G16" i="2"/>
  <c r="D17" i="2"/>
  <c r="H376" i="2"/>
  <c r="F374" i="2"/>
  <c r="D372" i="2"/>
  <c r="G378" i="2"/>
  <c r="E378" i="2"/>
  <c r="H377" i="2"/>
  <c r="F377" i="2"/>
  <c r="D377" i="2"/>
  <c r="G356" i="2"/>
  <c r="E354" i="2"/>
  <c r="E359" i="2"/>
  <c r="G359" i="2"/>
  <c r="E358" i="2"/>
  <c r="G358" i="2"/>
  <c r="D358" i="2"/>
  <c r="F339" i="2"/>
  <c r="H339" i="2"/>
  <c r="H343" i="2" s="1"/>
  <c r="E320" i="2"/>
  <c r="G320" i="2"/>
  <c r="D320" i="2"/>
  <c r="E302" i="2"/>
  <c r="G302" i="2"/>
  <c r="E301" i="2"/>
  <c r="G301" i="2"/>
  <c r="D301" i="2"/>
  <c r="E168" i="2"/>
  <c r="G168" i="2"/>
  <c r="E169" i="2"/>
  <c r="G169" i="2"/>
  <c r="D169" i="2"/>
  <c r="E149" i="2"/>
  <c r="G149" i="2"/>
  <c r="E150" i="2"/>
  <c r="G150" i="2"/>
  <c r="D150" i="2"/>
  <c r="G128" i="2"/>
  <c r="E126" i="2"/>
  <c r="F130" i="2"/>
  <c r="H130" i="2"/>
  <c r="F131" i="2"/>
  <c r="H131" i="2"/>
  <c r="D130" i="2"/>
  <c r="F112" i="2"/>
  <c r="H112" i="2"/>
  <c r="F111" i="2"/>
  <c r="H111" i="2"/>
  <c r="D111" i="2"/>
  <c r="F92" i="2"/>
  <c r="H92" i="2"/>
  <c r="F93" i="2"/>
  <c r="H93" i="2"/>
  <c r="H96" i="2" s="1"/>
  <c r="D92" i="2"/>
  <c r="F73" i="2"/>
  <c r="H73" i="2"/>
  <c r="F74" i="2"/>
  <c r="H74" i="2"/>
  <c r="D73" i="2"/>
  <c r="F54" i="2"/>
  <c r="H54" i="2"/>
  <c r="F55" i="2"/>
  <c r="H55" i="2"/>
  <c r="D54" i="2"/>
  <c r="F35" i="2"/>
  <c r="H35" i="2"/>
  <c r="F36" i="2"/>
  <c r="H36" i="2"/>
  <c r="D35" i="2"/>
  <c r="F17" i="2"/>
  <c r="H17" i="2"/>
  <c r="F16" i="2"/>
  <c r="H16" i="2"/>
  <c r="D16" i="2"/>
  <c r="G375" i="2"/>
  <c r="E373" i="2"/>
  <c r="H378" i="2"/>
  <c r="F378" i="2"/>
  <c r="D378" i="2"/>
  <c r="G377" i="2"/>
  <c r="E377" i="2"/>
  <c r="H357" i="2"/>
  <c r="F355" i="2"/>
  <c r="D353" i="2"/>
  <c r="D359" i="2"/>
  <c r="F359" i="2"/>
  <c r="H359" i="2"/>
  <c r="F358" i="2"/>
  <c r="H358" i="2"/>
  <c r="E339" i="2"/>
  <c r="G339" i="2"/>
  <c r="D339" i="2"/>
  <c r="F320" i="2"/>
  <c r="H320" i="2"/>
  <c r="D302" i="2"/>
  <c r="F302" i="2"/>
  <c r="H302" i="2"/>
  <c r="F301" i="2"/>
  <c r="H301" i="2"/>
  <c r="G52" i="2"/>
  <c r="G61" i="2" s="1"/>
  <c r="F283" i="2"/>
  <c r="H283" i="2"/>
  <c r="F282" i="2"/>
  <c r="H282" i="2"/>
  <c r="D282" i="2"/>
  <c r="E283" i="2"/>
  <c r="G283" i="2"/>
  <c r="E282" i="2"/>
  <c r="G282" i="2"/>
  <c r="D283" i="2"/>
  <c r="D68" i="2"/>
  <c r="F336" i="2"/>
  <c r="G318" i="2"/>
  <c r="E297" i="2"/>
  <c r="F279" i="2"/>
  <c r="H262" i="2"/>
  <c r="D258" i="2"/>
  <c r="E240" i="2"/>
  <c r="F222" i="2"/>
  <c r="G204" i="2"/>
  <c r="F184" i="2"/>
  <c r="G166" i="2"/>
  <c r="H148" i="2"/>
  <c r="D144" i="2"/>
  <c r="H110" i="2"/>
  <c r="D106" i="2"/>
  <c r="E88" i="2"/>
  <c r="D334" i="2"/>
  <c r="H281" i="2"/>
  <c r="G242" i="2"/>
  <c r="H224" i="2"/>
  <c r="E202" i="2"/>
  <c r="H186" i="2"/>
  <c r="E164" i="2"/>
  <c r="F146" i="2"/>
  <c r="F108" i="2"/>
  <c r="H243" i="2"/>
  <c r="H91" i="2"/>
  <c r="G337" i="2"/>
  <c r="H319" i="2"/>
  <c r="D315" i="2"/>
  <c r="F298" i="2"/>
  <c r="G280" i="2"/>
  <c r="E259" i="2"/>
  <c r="F241" i="2"/>
  <c r="G223" i="2"/>
  <c r="H205" i="2"/>
  <c r="D201" i="2"/>
  <c r="G185" i="2"/>
  <c r="H167" i="2"/>
  <c r="D163" i="2"/>
  <c r="E145" i="2"/>
  <c r="E107" i="2"/>
  <c r="F89" i="2"/>
  <c r="H338" i="2"/>
  <c r="E316" i="2"/>
  <c r="G299" i="2"/>
  <c r="D277" i="2"/>
  <c r="F260" i="2"/>
  <c r="D220" i="2"/>
  <c r="D182" i="2"/>
  <c r="G90" i="2"/>
  <c r="E335" i="2"/>
  <c r="F317" i="2"/>
  <c r="H300" i="2"/>
  <c r="D296" i="2"/>
  <c r="E278" i="2"/>
  <c r="G261" i="2"/>
  <c r="D239" i="2"/>
  <c r="E221" i="2"/>
  <c r="F203" i="2"/>
  <c r="E183" i="2"/>
  <c r="G147" i="2"/>
  <c r="D125" i="2"/>
  <c r="G109" i="2"/>
  <c r="D87" i="2"/>
  <c r="F67" i="2"/>
  <c r="F79" i="2" s="1"/>
  <c r="E333" i="2"/>
  <c r="D333" i="2"/>
  <c r="D347" i="2" s="1"/>
  <c r="H314" i="2"/>
  <c r="E295" i="2"/>
  <c r="D295" i="2"/>
  <c r="H276" i="2"/>
  <c r="E257" i="2"/>
  <c r="D257" i="2"/>
  <c r="H238" i="2"/>
  <c r="H250" i="2" s="1"/>
  <c r="G219" i="2"/>
  <c r="F200" i="2"/>
  <c r="E181" i="2"/>
  <c r="D181" i="2"/>
  <c r="G162" i="2"/>
  <c r="H143" i="2"/>
  <c r="H155" i="2" s="1"/>
  <c r="D143" i="2"/>
  <c r="E124" i="2"/>
  <c r="E105" i="2"/>
  <c r="H86" i="2"/>
  <c r="D86" i="2"/>
  <c r="F257" i="2"/>
  <c r="D238" i="2"/>
  <c r="H219" i="2"/>
  <c r="H124" i="2"/>
  <c r="G86" i="2"/>
  <c r="H333" i="2"/>
  <c r="G314" i="2"/>
  <c r="H295" i="2"/>
  <c r="G276" i="2"/>
  <c r="H257" i="2"/>
  <c r="G238" i="2"/>
  <c r="G250" i="2" s="1"/>
  <c r="F219" i="2"/>
  <c r="E200" i="2"/>
  <c r="E214" i="2" s="1"/>
  <c r="D200" i="2"/>
  <c r="H181" i="2"/>
  <c r="F162" i="2"/>
  <c r="D162" i="2"/>
  <c r="E143" i="2"/>
  <c r="F124" i="2"/>
  <c r="F105" i="2"/>
  <c r="E86" i="2"/>
  <c r="G143" i="2"/>
  <c r="G155" i="2" s="1"/>
  <c r="D105" i="2"/>
  <c r="G333" i="2"/>
  <c r="F314" i="2"/>
  <c r="G295" i="2"/>
  <c r="F276" i="2"/>
  <c r="G257" i="2"/>
  <c r="F238" i="2"/>
  <c r="F250" i="2" s="1"/>
  <c r="E219" i="2"/>
  <c r="D219" i="2"/>
  <c r="H200" i="2"/>
  <c r="H214" i="2" s="1"/>
  <c r="G181" i="2"/>
  <c r="E162" i="2"/>
  <c r="F143" i="2"/>
  <c r="G124" i="2"/>
  <c r="G105" i="2"/>
  <c r="F86" i="2"/>
  <c r="F333" i="2"/>
  <c r="E314" i="2"/>
  <c r="E326" i="2" s="1"/>
  <c r="D314" i="2"/>
  <c r="F295" i="2"/>
  <c r="E276" i="2"/>
  <c r="D276" i="2"/>
  <c r="E238" i="2"/>
  <c r="E250" i="2" s="1"/>
  <c r="G200" i="2"/>
  <c r="G214" i="2" s="1"/>
  <c r="F181" i="2"/>
  <c r="H162" i="2"/>
  <c r="D124" i="2"/>
  <c r="H105" i="2"/>
  <c r="G14" i="2"/>
  <c r="F13" i="2"/>
  <c r="D49" i="2"/>
  <c r="F70" i="2"/>
  <c r="F32" i="2"/>
  <c r="E31" i="2"/>
  <c r="H53" i="2"/>
  <c r="E69" i="2"/>
  <c r="E12" i="2"/>
  <c r="D30" i="2"/>
  <c r="H34" i="2"/>
  <c r="F51" i="2"/>
  <c r="G71" i="2"/>
  <c r="D11" i="2"/>
  <c r="C9" i="1" s="1"/>
  <c r="H15" i="2"/>
  <c r="G33" i="2"/>
  <c r="E50" i="2"/>
  <c r="H72" i="2"/>
  <c r="G10" i="2"/>
  <c r="G22" i="2" s="1"/>
  <c r="E29" i="2"/>
  <c r="E43" i="2" s="1"/>
  <c r="F48" i="2"/>
  <c r="F62" i="2" s="1"/>
  <c r="D67" i="2"/>
  <c r="H67" i="2"/>
  <c r="F10" i="2"/>
  <c r="F24" i="2" s="1"/>
  <c r="D29" i="2"/>
  <c r="D43" i="2" s="1"/>
  <c r="H29" i="2"/>
  <c r="E48" i="2"/>
  <c r="E62" i="2" s="1"/>
  <c r="G67" i="2"/>
  <c r="G81" i="2" s="1"/>
  <c r="D10" i="2"/>
  <c r="D24" i="2" s="1"/>
  <c r="H10" i="2"/>
  <c r="F29" i="2"/>
  <c r="F43" i="2" s="1"/>
  <c r="G48" i="2"/>
  <c r="G60" i="2" s="1"/>
  <c r="E67" i="2"/>
  <c r="E81" i="2" s="1"/>
  <c r="E10" i="2"/>
  <c r="E24" i="2" s="1"/>
  <c r="G29" i="2"/>
  <c r="G43" i="2" s="1"/>
  <c r="D48" i="2"/>
  <c r="D60" i="2" s="1"/>
  <c r="H48" i="2"/>
  <c r="H60" i="2" s="1"/>
  <c r="C15" i="1" l="1"/>
  <c r="C14" i="1"/>
  <c r="C10" i="1"/>
  <c r="E440" i="2"/>
  <c r="C8" i="1"/>
  <c r="D439" i="2"/>
  <c r="D438" i="2"/>
  <c r="F438" i="2"/>
  <c r="F439" i="2"/>
  <c r="E418" i="2"/>
  <c r="E417" i="2"/>
  <c r="H439" i="2"/>
  <c r="E438" i="2"/>
  <c r="E439" i="2"/>
  <c r="F457" i="2"/>
  <c r="F458" i="2"/>
  <c r="D417" i="2"/>
  <c r="D418" i="2"/>
  <c r="G417" i="2"/>
  <c r="G418" i="2"/>
  <c r="F417" i="2"/>
  <c r="F418" i="2"/>
  <c r="D458" i="2"/>
  <c r="E458" i="2"/>
  <c r="E457" i="2"/>
  <c r="H417" i="2"/>
  <c r="H418" i="2"/>
  <c r="H458" i="2"/>
  <c r="H457" i="2"/>
  <c r="G439" i="2"/>
  <c r="G438" i="2"/>
  <c r="G458" i="2"/>
  <c r="G457" i="2"/>
  <c r="E190" i="2"/>
  <c r="E192" i="2"/>
  <c r="E191" i="2"/>
  <c r="E194" i="2"/>
  <c r="E189" i="2"/>
  <c r="D209" i="2"/>
  <c r="D210" i="2"/>
  <c r="D213" i="2"/>
  <c r="D211" i="2"/>
  <c r="D208" i="2"/>
  <c r="E213" i="2"/>
  <c r="E208" i="2"/>
  <c r="E211" i="2"/>
  <c r="E210" i="2"/>
  <c r="E209" i="2"/>
  <c r="H265" i="2"/>
  <c r="H268" i="2"/>
  <c r="H270" i="2"/>
  <c r="H266" i="2"/>
  <c r="H267" i="2"/>
  <c r="F211" i="2"/>
  <c r="F209" i="2"/>
  <c r="F213" i="2"/>
  <c r="F210" i="2"/>
  <c r="F208" i="2"/>
  <c r="F268" i="2"/>
  <c r="F266" i="2"/>
  <c r="F267" i="2"/>
  <c r="F265" i="2"/>
  <c r="F270" i="2"/>
  <c r="D172" i="2"/>
  <c r="D173" i="2"/>
  <c r="D175" i="2"/>
  <c r="D171" i="2"/>
  <c r="D170" i="2"/>
  <c r="H209" i="2"/>
  <c r="H210" i="2"/>
  <c r="H213" i="2"/>
  <c r="H208" i="2"/>
  <c r="H211" i="2"/>
  <c r="F156" i="2"/>
  <c r="F153" i="2"/>
  <c r="F152" i="2"/>
  <c r="H230" i="2"/>
  <c r="H229" i="2"/>
  <c r="H232" i="2"/>
  <c r="H227" i="2"/>
  <c r="H228" i="2"/>
  <c r="F227" i="2"/>
  <c r="F232" i="2"/>
  <c r="F230" i="2"/>
  <c r="F228" i="2"/>
  <c r="F229" i="2"/>
  <c r="D422" i="2"/>
  <c r="D419" i="2"/>
  <c r="D420" i="2"/>
  <c r="G270" i="2"/>
  <c r="G267" i="2"/>
  <c r="G266" i="2"/>
  <c r="G265" i="2"/>
  <c r="G268" i="2"/>
  <c r="H403" i="2"/>
  <c r="H401" i="2"/>
  <c r="H398" i="2"/>
  <c r="H399" i="2"/>
  <c r="H400" i="2"/>
  <c r="G401" i="2"/>
  <c r="G399" i="2"/>
  <c r="G403" i="2"/>
  <c r="G400" i="2"/>
  <c r="G398" i="2"/>
  <c r="H422" i="2"/>
  <c r="H420" i="2"/>
  <c r="H419" i="2"/>
  <c r="D251" i="2"/>
  <c r="D247" i="2"/>
  <c r="D248" i="2"/>
  <c r="D249" i="2"/>
  <c r="D246" i="2"/>
  <c r="D192" i="2"/>
  <c r="D194" i="2"/>
  <c r="D189" i="2"/>
  <c r="D191" i="2"/>
  <c r="D190" i="2"/>
  <c r="G194" i="2"/>
  <c r="G190" i="2"/>
  <c r="G189" i="2"/>
  <c r="G191" i="2"/>
  <c r="G192" i="2"/>
  <c r="F247" i="2"/>
  <c r="F249" i="2"/>
  <c r="F248" i="2"/>
  <c r="F246" i="2"/>
  <c r="F251" i="2"/>
  <c r="H251" i="2"/>
  <c r="H247" i="2"/>
  <c r="H246" i="2"/>
  <c r="H249" i="2"/>
  <c r="H248" i="2"/>
  <c r="H192" i="2"/>
  <c r="H191" i="2"/>
  <c r="H194" i="2"/>
  <c r="H189" i="2"/>
  <c r="H190" i="2"/>
  <c r="F194" i="2"/>
  <c r="F191" i="2"/>
  <c r="F192" i="2"/>
  <c r="F190" i="2"/>
  <c r="F189" i="2"/>
  <c r="D265" i="2"/>
  <c r="D270" i="2"/>
  <c r="D266" i="2"/>
  <c r="D267" i="2"/>
  <c r="D268" i="2"/>
  <c r="D403" i="2"/>
  <c r="D399" i="2"/>
  <c r="D398" i="2"/>
  <c r="D400" i="2"/>
  <c r="D401" i="2"/>
  <c r="G422" i="2"/>
  <c r="G419" i="2"/>
  <c r="G420" i="2"/>
  <c r="F422" i="2"/>
  <c r="F419" i="2"/>
  <c r="F420" i="2"/>
  <c r="G59" i="2"/>
  <c r="D230" i="2"/>
  <c r="D232" i="2"/>
  <c r="D227" i="2"/>
  <c r="D229" i="2"/>
  <c r="D228" i="2"/>
  <c r="E268" i="2"/>
  <c r="E267" i="2"/>
  <c r="E265" i="2"/>
  <c r="E270" i="2"/>
  <c r="E266" i="2"/>
  <c r="G211" i="2"/>
  <c r="G213" i="2"/>
  <c r="G209" i="2"/>
  <c r="G208" i="2"/>
  <c r="G210" i="2"/>
  <c r="E228" i="2"/>
  <c r="E230" i="2"/>
  <c r="E229" i="2"/>
  <c r="E232" i="2"/>
  <c r="E227" i="2"/>
  <c r="H173" i="2"/>
  <c r="H172" i="2"/>
  <c r="H175" i="2"/>
  <c r="H171" i="2"/>
  <c r="H170" i="2"/>
  <c r="G232" i="2"/>
  <c r="G228" i="2"/>
  <c r="G227" i="2"/>
  <c r="G229" i="2"/>
  <c r="G230" i="2"/>
  <c r="E171" i="2"/>
  <c r="E172" i="2"/>
  <c r="E173" i="2"/>
  <c r="E175" i="2"/>
  <c r="E170" i="2"/>
  <c r="G249" i="2"/>
  <c r="G251" i="2"/>
  <c r="G247" i="2"/>
  <c r="G246" i="2"/>
  <c r="G248" i="2"/>
  <c r="G173" i="2"/>
  <c r="G171" i="2"/>
  <c r="G175" i="2"/>
  <c r="G172" i="2"/>
  <c r="G170" i="2"/>
  <c r="E246" i="2"/>
  <c r="E251" i="2"/>
  <c r="E248" i="2"/>
  <c r="E249" i="2"/>
  <c r="E247" i="2"/>
  <c r="F175" i="2"/>
  <c r="F170" i="2"/>
  <c r="F173" i="2"/>
  <c r="F171" i="2"/>
  <c r="F172" i="2"/>
  <c r="E401" i="2"/>
  <c r="E403" i="2"/>
  <c r="E400" i="2"/>
  <c r="E398" i="2"/>
  <c r="E399" i="2"/>
  <c r="F403" i="2"/>
  <c r="F400" i="2"/>
  <c r="F401" i="2"/>
  <c r="F399" i="2"/>
  <c r="F398" i="2"/>
  <c r="E422" i="2"/>
  <c r="E420" i="2"/>
  <c r="E419" i="2"/>
  <c r="G364" i="2"/>
  <c r="G366" i="2"/>
  <c r="E385" i="2"/>
  <c r="E383" i="2"/>
  <c r="D404" i="2"/>
  <c r="D402" i="2"/>
  <c r="H404" i="2"/>
  <c r="H402" i="2"/>
  <c r="G423" i="2"/>
  <c r="G421" i="2"/>
  <c r="F366" i="2"/>
  <c r="F364" i="2"/>
  <c r="F385" i="2"/>
  <c r="F383" i="2"/>
  <c r="E404" i="2"/>
  <c r="C22" i="1" s="1"/>
  <c r="E402" i="2"/>
  <c r="D423" i="2"/>
  <c r="D421" i="2"/>
  <c r="H423" i="2"/>
  <c r="H421" i="2"/>
  <c r="G117" i="2"/>
  <c r="G119" i="2"/>
  <c r="F157" i="2"/>
  <c r="F155" i="2"/>
  <c r="D119" i="2"/>
  <c r="D117" i="2"/>
  <c r="E100" i="2"/>
  <c r="E98" i="2"/>
  <c r="G100" i="2"/>
  <c r="G98" i="2"/>
  <c r="H98" i="2"/>
  <c r="H100" i="2"/>
  <c r="F214" i="2"/>
  <c r="F212" i="2"/>
  <c r="H119" i="2"/>
  <c r="H117" i="2"/>
  <c r="F98" i="2"/>
  <c r="F100" i="2"/>
  <c r="F119" i="2"/>
  <c r="F117" i="2"/>
  <c r="D214" i="2"/>
  <c r="D212" i="2"/>
  <c r="D100" i="2"/>
  <c r="D98" i="2"/>
  <c r="E117" i="2"/>
  <c r="E119" i="2"/>
  <c r="D364" i="2"/>
  <c r="D366" i="2"/>
  <c r="E366" i="2"/>
  <c r="E364" i="2"/>
  <c r="G385" i="2"/>
  <c r="G383" i="2"/>
  <c r="F404" i="2"/>
  <c r="F402" i="2"/>
  <c r="E423" i="2"/>
  <c r="E421" i="2"/>
  <c r="H366" i="2"/>
  <c r="H364" i="2"/>
  <c r="D385" i="2"/>
  <c r="D383" i="2"/>
  <c r="H385" i="2"/>
  <c r="H383" i="2"/>
  <c r="G404" i="2"/>
  <c r="G402" i="2"/>
  <c r="F423" i="2"/>
  <c r="F421" i="2"/>
  <c r="D304" i="2"/>
  <c r="D305" i="2"/>
  <c r="F327" i="2"/>
  <c r="F325" i="2"/>
  <c r="F323" i="2"/>
  <c r="F324" i="2"/>
  <c r="G97" i="2"/>
  <c r="G96" i="2"/>
  <c r="G99" i="2"/>
  <c r="G95" i="2"/>
  <c r="E323" i="2"/>
  <c r="E327" i="2"/>
  <c r="E325" i="2"/>
  <c r="E324" i="2"/>
  <c r="F99" i="2"/>
  <c r="F96" i="2"/>
  <c r="F97" i="2"/>
  <c r="F95" i="2"/>
  <c r="E152" i="2"/>
  <c r="E153" i="2"/>
  <c r="F304" i="2"/>
  <c r="F305" i="2"/>
  <c r="H327" i="2"/>
  <c r="H325" i="2"/>
  <c r="H323" i="2"/>
  <c r="H324" i="2"/>
  <c r="H99" i="2"/>
  <c r="H97" i="2"/>
  <c r="H95" i="2"/>
  <c r="F118" i="2"/>
  <c r="F116" i="2"/>
  <c r="F115" i="2"/>
  <c r="F114" i="2"/>
  <c r="D343" i="2"/>
  <c r="D346" i="2"/>
  <c r="D344" i="2"/>
  <c r="D342" i="2"/>
  <c r="D116" i="2"/>
  <c r="D118" i="2"/>
  <c r="D115" i="2"/>
  <c r="D114" i="2"/>
  <c r="D152" i="2"/>
  <c r="D153" i="2"/>
  <c r="E304" i="2"/>
  <c r="E305" i="2"/>
  <c r="F343" i="2"/>
  <c r="F346" i="2"/>
  <c r="F344" i="2"/>
  <c r="F342" i="2"/>
  <c r="G57" i="2"/>
  <c r="G56" i="2"/>
  <c r="G58" i="2"/>
  <c r="F363" i="2"/>
  <c r="F362" i="2"/>
  <c r="F360" i="2"/>
  <c r="F365" i="2"/>
  <c r="F361" i="2"/>
  <c r="G381" i="2"/>
  <c r="G382" i="2"/>
  <c r="G380" i="2"/>
  <c r="G384" i="2"/>
  <c r="G379" i="2"/>
  <c r="E133" i="2"/>
  <c r="E134" i="2"/>
  <c r="E365" i="2"/>
  <c r="E362" i="2"/>
  <c r="E363" i="2"/>
  <c r="E361" i="2"/>
  <c r="E360" i="2"/>
  <c r="F384" i="2"/>
  <c r="F379" i="2"/>
  <c r="F382" i="2"/>
  <c r="F381" i="2"/>
  <c r="F380" i="2"/>
  <c r="H133" i="2"/>
  <c r="H134" i="2"/>
  <c r="H77" i="2"/>
  <c r="H75" i="2"/>
  <c r="H76" i="2"/>
  <c r="G39" i="2"/>
  <c r="G38" i="2"/>
  <c r="D20" i="2"/>
  <c r="D19" i="2"/>
  <c r="F59" i="2"/>
  <c r="F57" i="2"/>
  <c r="F58" i="2"/>
  <c r="F56" i="2"/>
  <c r="D37" i="2"/>
  <c r="D39" i="2"/>
  <c r="D38" i="2"/>
  <c r="E77" i="2"/>
  <c r="E76" i="2"/>
  <c r="E75" i="2"/>
  <c r="E42" i="2"/>
  <c r="E39" i="2"/>
  <c r="E38" i="2"/>
  <c r="F78" i="2"/>
  <c r="F77" i="2"/>
  <c r="F75" i="2"/>
  <c r="F76" i="2"/>
  <c r="F23" i="2"/>
  <c r="F20" i="2"/>
  <c r="F19" i="2"/>
  <c r="G115" i="2"/>
  <c r="G118" i="2"/>
  <c r="G116" i="2"/>
  <c r="G114" i="2"/>
  <c r="G152" i="2"/>
  <c r="G153" i="2"/>
  <c r="E57" i="2"/>
  <c r="E56" i="2"/>
  <c r="E58" i="2"/>
  <c r="H20" i="2"/>
  <c r="H19" i="2"/>
  <c r="G77" i="2"/>
  <c r="G76" i="2"/>
  <c r="G75" i="2"/>
  <c r="H39" i="2"/>
  <c r="H38" i="2"/>
  <c r="E20" i="2"/>
  <c r="E19" i="2"/>
  <c r="H57" i="2"/>
  <c r="H58" i="2"/>
  <c r="H56" i="2"/>
  <c r="F42" i="2"/>
  <c r="F39" i="2"/>
  <c r="F38" i="2"/>
  <c r="D58" i="2"/>
  <c r="D57" i="2"/>
  <c r="D56" i="2"/>
  <c r="G18" i="2"/>
  <c r="G20" i="2"/>
  <c r="G19" i="2"/>
  <c r="D99" i="2"/>
  <c r="D96" i="2"/>
  <c r="D97" i="2"/>
  <c r="D95" i="2"/>
  <c r="D134" i="2"/>
  <c r="D133" i="2"/>
  <c r="H305" i="2"/>
  <c r="H304" i="2"/>
  <c r="E346" i="2"/>
  <c r="E344" i="2"/>
  <c r="E343" i="2"/>
  <c r="E342" i="2"/>
  <c r="G304" i="2"/>
  <c r="G305" i="2"/>
  <c r="H346" i="2"/>
  <c r="H344" i="2"/>
  <c r="H342" i="2"/>
  <c r="E115" i="2"/>
  <c r="E118" i="2"/>
  <c r="E116" i="2"/>
  <c r="E114" i="2"/>
  <c r="D327" i="2"/>
  <c r="D325" i="2"/>
  <c r="D323" i="2"/>
  <c r="D324" i="2"/>
  <c r="G346" i="2"/>
  <c r="G344" i="2"/>
  <c r="G343" i="2"/>
  <c r="G342" i="2"/>
  <c r="E97" i="2"/>
  <c r="E96" i="2"/>
  <c r="E99" i="2"/>
  <c r="E95" i="2"/>
  <c r="H118" i="2"/>
  <c r="H116" i="2"/>
  <c r="H115" i="2"/>
  <c r="H114" i="2"/>
  <c r="H152" i="2"/>
  <c r="H153" i="2"/>
  <c r="G323" i="2"/>
  <c r="G327" i="2"/>
  <c r="G325" i="2"/>
  <c r="G324" i="2"/>
  <c r="D77" i="2"/>
  <c r="D75" i="2"/>
  <c r="D76" i="2"/>
  <c r="D362" i="2"/>
  <c r="D360" i="2"/>
  <c r="D365" i="2"/>
  <c r="D363" i="2"/>
  <c r="D361" i="2"/>
  <c r="H362" i="2"/>
  <c r="H360" i="2"/>
  <c r="H365" i="2"/>
  <c r="H363" i="2"/>
  <c r="H361" i="2"/>
  <c r="E381" i="2"/>
  <c r="E380" i="2"/>
  <c r="E384" i="2"/>
  <c r="E379" i="2"/>
  <c r="E382" i="2"/>
  <c r="G133" i="2"/>
  <c r="G134" i="2"/>
  <c r="G365" i="2"/>
  <c r="G363" i="2"/>
  <c r="G362" i="2"/>
  <c r="G361" i="2"/>
  <c r="G360" i="2"/>
  <c r="D384" i="2"/>
  <c r="D381" i="2"/>
  <c r="D380" i="2"/>
  <c r="D379" i="2"/>
  <c r="D382" i="2"/>
  <c r="H384" i="2"/>
  <c r="H381" i="2"/>
  <c r="H380" i="2"/>
  <c r="H379" i="2"/>
  <c r="H382" i="2"/>
  <c r="F133" i="2"/>
  <c r="F134" i="2"/>
  <c r="D284" i="2"/>
  <c r="D285" i="2"/>
  <c r="D286" i="2"/>
  <c r="D18" i="2"/>
  <c r="E286" i="2"/>
  <c r="E285" i="2"/>
  <c r="G286" i="2"/>
  <c r="G285" i="2"/>
  <c r="H285" i="2"/>
  <c r="H286" i="2"/>
  <c r="H284" i="2"/>
  <c r="F286" i="2"/>
  <c r="F285" i="2"/>
  <c r="F21" i="2"/>
  <c r="D78" i="2"/>
  <c r="H37" i="2"/>
  <c r="G151" i="2"/>
  <c r="G154" i="2"/>
  <c r="G156" i="2"/>
  <c r="D306" i="2"/>
  <c r="D303" i="2"/>
  <c r="D308" i="2"/>
  <c r="E341" i="2"/>
  <c r="G137" i="2"/>
  <c r="G132" i="2"/>
  <c r="G135" i="2"/>
  <c r="D287" i="2"/>
  <c r="D289" i="2"/>
  <c r="E322" i="2"/>
  <c r="F94" i="2"/>
  <c r="G284" i="2"/>
  <c r="G287" i="2"/>
  <c r="G289" i="2"/>
  <c r="H322" i="2"/>
  <c r="E132" i="2"/>
  <c r="E137" i="2"/>
  <c r="E135" i="2"/>
  <c r="D135" i="2"/>
  <c r="D137" i="2"/>
  <c r="D132" i="2"/>
  <c r="E287" i="2"/>
  <c r="E289" i="2"/>
  <c r="E284" i="2"/>
  <c r="F322" i="2"/>
  <c r="G94" i="2"/>
  <c r="E156" i="2"/>
  <c r="E151" i="2"/>
  <c r="E154" i="2"/>
  <c r="D322" i="2"/>
  <c r="H287" i="2"/>
  <c r="H289" i="2"/>
  <c r="D341" i="2"/>
  <c r="H113" i="2"/>
  <c r="E303" i="2"/>
  <c r="E308" i="2"/>
  <c r="E306" i="2"/>
  <c r="D80" i="2"/>
  <c r="F113" i="2"/>
  <c r="G113" i="2"/>
  <c r="F135" i="2"/>
  <c r="F137" i="2"/>
  <c r="F132" i="2"/>
  <c r="H135" i="2"/>
  <c r="H137" i="2"/>
  <c r="H132" i="2"/>
  <c r="D113" i="2"/>
  <c r="H151" i="2"/>
  <c r="H154" i="2"/>
  <c r="H156" i="2"/>
  <c r="F284" i="2"/>
  <c r="F287" i="2"/>
  <c r="F289" i="2"/>
  <c r="F341" i="2"/>
  <c r="D59" i="2"/>
  <c r="D61" i="2"/>
  <c r="D94" i="2"/>
  <c r="H306" i="2"/>
  <c r="H303" i="2"/>
  <c r="H308" i="2"/>
  <c r="G303" i="2"/>
  <c r="G308" i="2"/>
  <c r="G306" i="2"/>
  <c r="H341" i="2"/>
  <c r="E113" i="2"/>
  <c r="F303" i="2"/>
  <c r="F308" i="2"/>
  <c r="F306" i="2"/>
  <c r="G341" i="2"/>
  <c r="H94" i="2"/>
  <c r="F151" i="2"/>
  <c r="F154" i="2"/>
  <c r="E94" i="2"/>
  <c r="D156" i="2"/>
  <c r="D151" i="2"/>
  <c r="D154" i="2"/>
  <c r="G322" i="2"/>
  <c r="F37" i="2"/>
  <c r="H176" i="2"/>
  <c r="H174" i="2"/>
  <c r="D290" i="2"/>
  <c r="D288" i="2"/>
  <c r="E328" i="2"/>
  <c r="G136" i="2"/>
  <c r="G138" i="2"/>
  <c r="H212" i="2"/>
  <c r="G269" i="2"/>
  <c r="G271" i="2"/>
  <c r="G347" i="2"/>
  <c r="G345" i="2"/>
  <c r="F176" i="2"/>
  <c r="F174" i="2"/>
  <c r="F233" i="2"/>
  <c r="F231" i="2"/>
  <c r="H307" i="2"/>
  <c r="H309" i="2"/>
  <c r="H138" i="2"/>
  <c r="H136" i="2"/>
  <c r="D155" i="2"/>
  <c r="D157" i="2"/>
  <c r="E193" i="2"/>
  <c r="E195" i="2"/>
  <c r="D269" i="2"/>
  <c r="D271" i="2"/>
  <c r="E309" i="2"/>
  <c r="E307" i="2"/>
  <c r="D138" i="2"/>
  <c r="D136" i="2"/>
  <c r="E252" i="2"/>
  <c r="D328" i="2"/>
  <c r="D326" i="2"/>
  <c r="G193" i="2"/>
  <c r="G195" i="2"/>
  <c r="F252" i="2"/>
  <c r="F326" i="2"/>
  <c r="F328" i="2"/>
  <c r="D174" i="2"/>
  <c r="D176" i="2"/>
  <c r="E212" i="2"/>
  <c r="G290" i="2"/>
  <c r="G288" i="2"/>
  <c r="F271" i="2"/>
  <c r="F269" i="2"/>
  <c r="E138" i="2"/>
  <c r="E136" i="2"/>
  <c r="D195" i="2"/>
  <c r="D193" i="2"/>
  <c r="H252" i="2"/>
  <c r="D307" i="2"/>
  <c r="D309" i="2"/>
  <c r="E347" i="2"/>
  <c r="E345" i="2"/>
  <c r="F81" i="2"/>
  <c r="H43" i="2"/>
  <c r="G212" i="2"/>
  <c r="F309" i="2"/>
  <c r="F307" i="2"/>
  <c r="E176" i="2"/>
  <c r="E174" i="2"/>
  <c r="E233" i="2"/>
  <c r="E231" i="2"/>
  <c r="G307" i="2"/>
  <c r="G309" i="2"/>
  <c r="G157" i="2"/>
  <c r="E157" i="2"/>
  <c r="E155" i="2"/>
  <c r="H269" i="2"/>
  <c r="H271" i="2"/>
  <c r="H345" i="2"/>
  <c r="H347" i="2"/>
  <c r="D250" i="2"/>
  <c r="D252" i="2"/>
  <c r="G174" i="2"/>
  <c r="G176" i="2"/>
  <c r="G233" i="2"/>
  <c r="G231" i="2"/>
  <c r="H288" i="2"/>
  <c r="H290" i="2"/>
  <c r="D345" i="2"/>
  <c r="F193" i="2"/>
  <c r="F195" i="2"/>
  <c r="E290" i="2"/>
  <c r="E288" i="2"/>
  <c r="F345" i="2"/>
  <c r="F347" i="2"/>
  <c r="D233" i="2"/>
  <c r="D231" i="2"/>
  <c r="F290" i="2"/>
  <c r="F288" i="2"/>
  <c r="F138" i="2"/>
  <c r="F136" i="2"/>
  <c r="H195" i="2"/>
  <c r="H193" i="2"/>
  <c r="G252" i="2"/>
  <c r="G326" i="2"/>
  <c r="G328" i="2"/>
  <c r="H233" i="2"/>
  <c r="H231" i="2"/>
  <c r="H157" i="2"/>
  <c r="E269" i="2"/>
  <c r="E271" i="2"/>
  <c r="H328" i="2"/>
  <c r="H326" i="2"/>
  <c r="F18" i="2"/>
  <c r="H24" i="2"/>
  <c r="H18" i="2"/>
  <c r="G21" i="2"/>
  <c r="G23" i="2"/>
  <c r="F80" i="2"/>
  <c r="D40" i="2"/>
  <c r="G24" i="2"/>
  <c r="E40" i="2"/>
  <c r="E37" i="2"/>
  <c r="D42" i="2"/>
  <c r="F40" i="2"/>
  <c r="G62" i="2"/>
  <c r="E78" i="2"/>
  <c r="H21" i="2"/>
  <c r="E60" i="2"/>
  <c r="F41" i="2"/>
  <c r="F22" i="2"/>
  <c r="H42" i="2"/>
  <c r="E61" i="2"/>
  <c r="G79" i="2"/>
  <c r="H59" i="2"/>
  <c r="D22" i="2"/>
  <c r="E80" i="2"/>
  <c r="H22" i="2"/>
  <c r="D62" i="2"/>
  <c r="E22" i="2"/>
  <c r="E41" i="2"/>
  <c r="H40" i="2"/>
  <c r="H61" i="2"/>
  <c r="E21" i="2"/>
  <c r="E23" i="2"/>
  <c r="E18" i="2"/>
  <c r="G37" i="2"/>
  <c r="G40" i="2"/>
  <c r="G42" i="2"/>
  <c r="D23" i="2"/>
  <c r="G78" i="2"/>
  <c r="H23" i="2"/>
  <c r="D21" i="2"/>
  <c r="E59" i="2"/>
  <c r="H80" i="2"/>
  <c r="F61" i="2"/>
  <c r="G80" i="2"/>
  <c r="H78" i="2"/>
  <c r="H81" i="2"/>
  <c r="H79" i="2"/>
  <c r="D41" i="2"/>
  <c r="F60" i="2"/>
  <c r="E79" i="2"/>
  <c r="G41" i="2"/>
  <c r="H41" i="2"/>
  <c r="D79" i="2"/>
  <c r="D81" i="2"/>
  <c r="H62" i="2"/>
  <c r="C17" i="1" l="1"/>
  <c r="C16" i="1"/>
  <c r="C21" i="1"/>
  <c r="C19" i="1"/>
  <c r="C20" i="1"/>
  <c r="C18" i="1"/>
</calcChain>
</file>

<file path=xl/sharedStrings.xml><?xml version="1.0" encoding="utf-8"?>
<sst xmlns="http://schemas.openxmlformats.org/spreadsheetml/2006/main" count="964" uniqueCount="155">
  <si>
    <t>Введите высоту проема, мм:</t>
  </si>
  <si>
    <t>Максимальный размер двери:</t>
  </si>
  <si>
    <t xml:space="preserve">По высоте </t>
  </si>
  <si>
    <t>2750 мм</t>
  </si>
  <si>
    <t>Введите ширину проема, мм:</t>
  </si>
  <si>
    <t xml:space="preserve">По ширине </t>
  </si>
  <si>
    <t>1500 мм</t>
  </si>
  <si>
    <t xml:space="preserve">Максимальный вес </t>
  </si>
  <si>
    <t>50 кг</t>
  </si>
  <si>
    <t>Параметры двери</t>
  </si>
  <si>
    <t>без шлегеля</t>
  </si>
  <si>
    <t>со шлегелем</t>
  </si>
  <si>
    <t>формулы</t>
  </si>
  <si>
    <t>2 дв.</t>
  </si>
  <si>
    <t>3 дв.</t>
  </si>
  <si>
    <t>4 дв.</t>
  </si>
  <si>
    <t>5 дв.</t>
  </si>
  <si>
    <t>Высота двери</t>
  </si>
  <si>
    <t>Нпр-40</t>
  </si>
  <si>
    <t>Lдв=(Lпр+26мм)/2</t>
  </si>
  <si>
    <t>Lдв=(Lпр+26-8мм)/2</t>
  </si>
  <si>
    <t>Lдв=(Lпр+26*2мм)/3</t>
  </si>
  <si>
    <t>Lдв=(Lпр+26*2-8мм)/3</t>
  </si>
  <si>
    <t>Lдв=(Lпр+26*3мм)/4</t>
  </si>
  <si>
    <t>Lдв=(Lпр+26*3-8мм)/4</t>
  </si>
  <si>
    <t>Lдв=(Lпр+26*2мм)/4</t>
  </si>
  <si>
    <t>Lдв=(Lпр+26*2-8мм)/4</t>
  </si>
  <si>
    <t>Lдв=(Lпр+26*4мм)/5</t>
  </si>
  <si>
    <t>Lдв=(Lпр+26*4-8мм)/5</t>
  </si>
  <si>
    <t>Lдв-50мм</t>
  </si>
  <si>
    <t>Lпр</t>
  </si>
  <si>
    <t>Lдв-36</t>
  </si>
  <si>
    <t>Ндв-58</t>
  </si>
  <si>
    <t>Lдв-38</t>
  </si>
  <si>
    <t>Ндв-60</t>
  </si>
  <si>
    <t>Lдв=(Lпр+32мм)/2</t>
  </si>
  <si>
    <t>Lдв=(Lпр+32-8мм)/2</t>
  </si>
  <si>
    <t>Lдв=(Lпр+32*2мм)/3</t>
  </si>
  <si>
    <t>Lдв=(Lпр+32*2-8мм)/3</t>
  </si>
  <si>
    <t>Lдв=(Lпр+32*3мм)/4</t>
  </si>
  <si>
    <t>Lдв=(Lпр+32*3-8мм)/4</t>
  </si>
  <si>
    <t>Lдв=(Lпр+32*2мм)/4</t>
  </si>
  <si>
    <t>Lдв=(Lпр+32*2-8мм)/4</t>
  </si>
  <si>
    <t>Lдв=(Lпр+32*4мм)/5</t>
  </si>
  <si>
    <t>Lдв=(Lпр+32*4-8мм)/5</t>
  </si>
  <si>
    <t>Lдв-48</t>
  </si>
  <si>
    <t>Lдв-50</t>
  </si>
  <si>
    <t>Тип профиля</t>
  </si>
  <si>
    <t>Количество дверей</t>
  </si>
  <si>
    <t>Кол-во дверей</t>
  </si>
  <si>
    <t>4-1 дв.</t>
  </si>
  <si>
    <t>4-2 дв.</t>
  </si>
  <si>
    <t>Lдв=(Lпр+40мм)/2</t>
  </si>
  <si>
    <t>Lдв=(Lпр+40*2мм)/3</t>
  </si>
  <si>
    <t>Lдв=(Lпр+40*3мм)/4</t>
  </si>
  <si>
    <t>Lдв=(Lпр+40*2мм)/4</t>
  </si>
  <si>
    <t>Lдв=(Lпр+40*4мм)/5</t>
  </si>
  <si>
    <t>Lдв-76мм</t>
  </si>
  <si>
    <t>Lдв=(Lпр+40-8мм)/2</t>
  </si>
  <si>
    <t>Lдв=(Lпр+40*2-8мм)/3</t>
  </si>
  <si>
    <t>Lдв=(Lпр+40*3-8мм)/4</t>
  </si>
  <si>
    <t>Lдв=(Lпр+40*2-8мм)/4</t>
  </si>
  <si>
    <t>Lдв=(Lпр+40*4-8мм)/5</t>
  </si>
  <si>
    <t>Lдв=(Lпр+42мм)/2</t>
  </si>
  <si>
    <t>Lдв=(Lпр+42*2мм)/3</t>
  </si>
  <si>
    <t>Lдв=(Lпр+42*3мм)/4</t>
  </si>
  <si>
    <t>Lдв=(Lпр+42*2мм)/4</t>
  </si>
  <si>
    <t>Lдв=(Lпр+42*4мм)/5</t>
  </si>
  <si>
    <t>Lдв=(Lпр+42-8мм)/2</t>
  </si>
  <si>
    <t>Lдв=(Lпр+42*2-8мм)/3</t>
  </si>
  <si>
    <t>Lдв=(Lпр+42*3-8мм)/4</t>
  </si>
  <si>
    <t>Lдв=(Lпр+42*2-8мм)/4</t>
  </si>
  <si>
    <t>Lдв=(Lпр+42*4-8мм)/5</t>
  </si>
  <si>
    <t>Lдв-38мм</t>
  </si>
  <si>
    <t>Нпр-70</t>
  </si>
  <si>
    <t>Ндв-67</t>
  </si>
  <si>
    <t>Ндв-69</t>
  </si>
  <si>
    <t>Lдв=(Lпр+60мм)/2</t>
  </si>
  <si>
    <t>Lдв=(Lпр+60*2мм)/3</t>
  </si>
  <si>
    <t>Lдв=(Lпр+60*3мм)/4</t>
  </si>
  <si>
    <t>Lдв=(Lпр+60*2мм)/4</t>
  </si>
  <si>
    <t>Lдв=(Lпр+60*4мм)/5</t>
  </si>
  <si>
    <t>Lдв-118мм</t>
  </si>
  <si>
    <t>Lдв-100</t>
  </si>
  <si>
    <t>Ндв-87</t>
  </si>
  <si>
    <t>Lдв-102</t>
  </si>
  <si>
    <t>Ндв-89</t>
  </si>
  <si>
    <t>Lдв=(Lпр+60-8мм)/2</t>
  </si>
  <si>
    <t>Lдв=(Lпр+60*2-8мм)/3</t>
  </si>
  <si>
    <t>Lдв=(Lпр+60*3-8мм)/4</t>
  </si>
  <si>
    <t>Lдв=(Lпр+60*2-8мм)/4</t>
  </si>
  <si>
    <t>Lдв=(Lпр+60*4-8мм)/5</t>
  </si>
  <si>
    <t>Lдв-120мм</t>
  </si>
  <si>
    <t>Elegant</t>
  </si>
  <si>
    <t>Quattro</t>
  </si>
  <si>
    <t>Elegant подвесной</t>
  </si>
  <si>
    <t>Quattro подвесной</t>
  </si>
  <si>
    <t>Grand</t>
  </si>
  <si>
    <t>Grand подвесной</t>
  </si>
  <si>
    <t>Размер заполнения ЛДСП   L, мм</t>
  </si>
  <si>
    <t>Размер заполнения ЛДСП   H, мм</t>
  </si>
  <si>
    <t>Размер заполнения  зеркало/стекло  L, мм</t>
  </si>
  <si>
    <t>Размер заполнения  зеркало/стекло  H, мм</t>
  </si>
  <si>
    <t>Рельс верхний, мм</t>
  </si>
  <si>
    <t>Рельс нижний, мм</t>
  </si>
  <si>
    <t>Горизонт верхний, мм</t>
  </si>
  <si>
    <t>Горизонт нижний, мм</t>
  </si>
  <si>
    <t>Соединительный профиль, мм</t>
  </si>
  <si>
    <t>Ширина двери (4 двери) 2 вариант     I-----____  ____-----I</t>
  </si>
  <si>
    <t>Ширина двери (4 двери) 1 вариант     I----- ____ -----____I</t>
  </si>
  <si>
    <t>Ширина двери (5 дверей)                  I-----____-----____-----I</t>
  </si>
  <si>
    <t>Ширина двери (3 двери)                                    I-----____-----I</t>
  </si>
  <si>
    <t>Ширина двери (2 двери)                                           I-----____I</t>
  </si>
  <si>
    <t>4 дв. 1 вариант</t>
  </si>
  <si>
    <t>4 дв. 2 вариант</t>
  </si>
  <si>
    <t>Lnp</t>
  </si>
  <si>
    <t>Lдв=(Lпр+10-8мм)/2</t>
  </si>
  <si>
    <t>Lдв=(Lпр+10*2-8мм)/3</t>
  </si>
  <si>
    <t>Lдв=(Lпр+10*3-8мм)/4</t>
  </si>
  <si>
    <t>Lдв=(Lпр+10*2-8мм)/4</t>
  </si>
  <si>
    <t>Lдв=(Lпр+10-)/2</t>
  </si>
  <si>
    <t>Lдв=(Lпр+10*3)/4</t>
  </si>
  <si>
    <t>Lдв=(Lпр+10*2)/3</t>
  </si>
  <si>
    <t>Lдв=(Lпр+10*2)/4</t>
  </si>
  <si>
    <t>Lдв=(Lпр+10*4)/5</t>
  </si>
  <si>
    <t>Lдв-20мм</t>
  </si>
  <si>
    <t>Lдв-4</t>
  </si>
  <si>
    <t>Ндв-3</t>
  </si>
  <si>
    <t>Lдв-6</t>
  </si>
  <si>
    <t>Ндв-5</t>
  </si>
  <si>
    <t>Lдв=(Lпр+10*4-8мм)/5</t>
  </si>
  <si>
    <t>Lдв-63мм</t>
  </si>
  <si>
    <t>Lдв-61</t>
  </si>
  <si>
    <t>Lдв-63</t>
  </si>
  <si>
    <t>Lдв-37мм</t>
  </si>
  <si>
    <t>Lдв-23</t>
  </si>
  <si>
    <t>Lдв-25</t>
  </si>
  <si>
    <t>Lдв-77мм</t>
  </si>
  <si>
    <t>Slender</t>
  </si>
  <si>
    <t>Magic</t>
  </si>
  <si>
    <t>Simple</t>
  </si>
  <si>
    <t>Lдв=(Lпр+40-)/2</t>
  </si>
  <si>
    <t>Lдв=(Lпр+40*2)/3</t>
  </si>
  <si>
    <t>Lдв=(Lпр+40*3)/4</t>
  </si>
  <si>
    <t>Lдв=(Lпр+40*2)/4</t>
  </si>
  <si>
    <t>Lдв=(Lпр+40*4)/5</t>
  </si>
  <si>
    <t>Lдв-18мм</t>
  </si>
  <si>
    <t>Lдв-2</t>
  </si>
  <si>
    <t>Ндв=Hnp</t>
  </si>
  <si>
    <t>Ндв-Hnp</t>
  </si>
  <si>
    <t>Шлегель (амортизационная щётка)</t>
  </si>
  <si>
    <t>Профиль открытый</t>
  </si>
  <si>
    <t>Введите выс, мм:</t>
  </si>
  <si>
    <t>Закрытый профиль</t>
  </si>
  <si>
    <t>L-ассиметрия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</si>
</sst>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\ _₽_-;\-* #,##0\ _₽_-;_-* &quot;-&quot;\ _₽_-;_-@_-"/>
    <numFmt numFmtId="164" formatCode="_-* #,##0.00_р_._-;\-* #,##0.00_р_._-;_-* &quot;-&quot;??_р_._-;_-@_-"/>
    <numFmt numFmtId="165" formatCode="#,##0_ ;\-#,##0\ "/>
    <numFmt numFmtId="166" formatCode="_-* #,##0_р_._-;\-* #,##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26">
    <xf numFmtId="0" fontId="0" fillId="0" borderId="0" xfId="0"/>
    <xf numFmtId="0" fontId="0" fillId="0" borderId="2" xfId="0" applyBorder="1"/>
    <xf numFmtId="0" fontId="0" fillId="0" borderId="16" xfId="0" applyBorder="1"/>
    <xf numFmtId="0" fontId="0" fillId="0" borderId="17" xfId="0" applyBorder="1"/>
    <xf numFmtId="16" fontId="0" fillId="0" borderId="0" xfId="0" applyNumberFormat="1"/>
    <xf numFmtId="0" fontId="1" fillId="0" borderId="2" xfId="0" applyFont="1" applyFill="1" applyBorder="1"/>
    <xf numFmtId="0" fontId="1" fillId="0" borderId="16" xfId="0" applyFont="1" applyFill="1" applyBorder="1"/>
    <xf numFmtId="0" fontId="1" fillId="0" borderId="17" xfId="0" applyFont="1" applyFill="1" applyBorder="1"/>
    <xf numFmtId="0" fontId="5" fillId="0" borderId="0" xfId="0" applyFont="1" applyFill="1"/>
    <xf numFmtId="0" fontId="3" fillId="0" borderId="0" xfId="0" applyFont="1" applyFill="1"/>
    <xf numFmtId="0" fontId="0" fillId="0" borderId="0" xfId="0" applyFill="1"/>
    <xf numFmtId="41" fontId="0" fillId="0" borderId="1" xfId="0" applyNumberFormat="1" applyBorder="1" applyAlignment="1">
      <alignment horizontal="center"/>
    </xf>
    <xf numFmtId="41" fontId="0" fillId="0" borderId="5" xfId="0" applyNumberFormat="1" applyBorder="1" applyAlignment="1">
      <alignment horizontal="center"/>
    </xf>
    <xf numFmtId="41" fontId="0" fillId="0" borderId="9" xfId="0" applyNumberForma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37" xfId="0" applyBorder="1" applyAlignment="1">
      <alignment horizontal="left"/>
    </xf>
    <xf numFmtId="41" fontId="0" fillId="0" borderId="38" xfId="0" applyNumberFormat="1" applyBorder="1" applyAlignment="1">
      <alignment horizontal="center"/>
    </xf>
    <xf numFmtId="0" fontId="3" fillId="0" borderId="0" xfId="0" applyFont="1"/>
    <xf numFmtId="0" fontId="3" fillId="3" borderId="0" xfId="0" applyFont="1" applyFill="1"/>
    <xf numFmtId="165" fontId="2" fillId="2" borderId="7" xfId="0" applyNumberFormat="1" applyFont="1" applyFill="1" applyBorder="1" applyAlignment="1" applyProtection="1">
      <alignment horizontal="left"/>
      <protection locked="0"/>
    </xf>
    <xf numFmtId="0" fontId="4" fillId="2" borderId="7" xfId="0" applyFont="1" applyFill="1" applyBorder="1" applyAlignment="1" applyProtection="1">
      <alignment horizontal="left"/>
      <protection locked="0"/>
    </xf>
    <xf numFmtId="0" fontId="4" fillId="0" borderId="35" xfId="0" applyFont="1" applyFill="1" applyBorder="1" applyAlignment="1" applyProtection="1">
      <alignment horizontal="left"/>
    </xf>
    <xf numFmtId="0" fontId="4" fillId="0" borderId="7" xfId="0" applyFont="1" applyFill="1" applyBorder="1" applyAlignment="1" applyProtection="1">
      <alignment horizontal="left"/>
    </xf>
    <xf numFmtId="0" fontId="0" fillId="3" borderId="0" xfId="0" applyFont="1" applyFill="1"/>
    <xf numFmtId="0" fontId="1" fillId="3" borderId="0" xfId="0" applyFont="1" applyFill="1"/>
    <xf numFmtId="0" fontId="7" fillId="3" borderId="1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1" fillId="3" borderId="8" xfId="0" applyFont="1" applyFill="1" applyBorder="1"/>
    <xf numFmtId="0" fontId="8" fillId="3" borderId="9" xfId="0" applyFont="1" applyFill="1" applyBorder="1" applyAlignment="1">
      <alignment horizontal="center"/>
    </xf>
    <xf numFmtId="0" fontId="1" fillId="3" borderId="12" xfId="0" applyFont="1" applyFill="1" applyBorder="1"/>
    <xf numFmtId="0" fontId="10" fillId="3" borderId="18" xfId="0" applyFont="1" applyFill="1" applyBorder="1"/>
    <xf numFmtId="0" fontId="0" fillId="3" borderId="11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1" xfId="0" applyFont="1" applyFill="1" applyBorder="1"/>
    <xf numFmtId="0" fontId="10" fillId="3" borderId="3" xfId="0" applyFont="1" applyFill="1" applyBorder="1"/>
    <xf numFmtId="1" fontId="7" fillId="3" borderId="13" xfId="0" applyNumberFormat="1" applyFont="1" applyFill="1" applyBorder="1" applyAlignment="1">
      <alignment horizontal="center"/>
    </xf>
    <xf numFmtId="1" fontId="7" fillId="3" borderId="14" xfId="0" applyNumberFormat="1" applyFont="1" applyFill="1" applyBorder="1" applyAlignment="1">
      <alignment horizontal="center"/>
    </xf>
    <xf numFmtId="1" fontId="7" fillId="3" borderId="15" xfId="0" applyNumberFormat="1" applyFont="1" applyFill="1" applyBorder="1" applyAlignment="1">
      <alignment horizontal="center"/>
    </xf>
    <xf numFmtId="0" fontId="0" fillId="3" borderId="5" xfId="0" applyFont="1" applyFill="1" applyBorder="1" applyAlignment="1">
      <alignment horizontal="left"/>
    </xf>
    <xf numFmtId="0" fontId="10" fillId="3" borderId="23" xfId="0" applyFont="1" applyFill="1" applyBorder="1"/>
    <xf numFmtId="1" fontId="7" fillId="3" borderId="6" xfId="0" applyNumberFormat="1" applyFont="1" applyFill="1" applyBorder="1" applyAlignment="1">
      <alignment horizontal="center"/>
    </xf>
    <xf numFmtId="1" fontId="7" fillId="3" borderId="7" xfId="0" applyNumberFormat="1" applyFont="1" applyFill="1" applyBorder="1" applyAlignment="1">
      <alignment horizontal="center"/>
    </xf>
    <xf numFmtId="1" fontId="7" fillId="3" borderId="8" xfId="0" applyNumberFormat="1" applyFont="1" applyFill="1" applyBorder="1" applyAlignment="1">
      <alignment horizontal="center"/>
    </xf>
    <xf numFmtId="0" fontId="0" fillId="3" borderId="9" xfId="0" applyFont="1" applyFill="1" applyBorder="1" applyAlignment="1">
      <alignment horizontal="left"/>
    </xf>
    <xf numFmtId="0" fontId="10" fillId="3" borderId="24" xfId="0" applyFont="1" applyFill="1" applyBorder="1"/>
    <xf numFmtId="1" fontId="7" fillId="3" borderId="10" xfId="0" applyNumberFormat="1" applyFont="1" applyFill="1" applyBorder="1" applyAlignment="1">
      <alignment horizontal="center"/>
    </xf>
    <xf numFmtId="1" fontId="7" fillId="3" borderId="11" xfId="0" applyNumberFormat="1" applyFont="1" applyFill="1" applyBorder="1" applyAlignment="1">
      <alignment horizontal="center"/>
    </xf>
    <xf numFmtId="1" fontId="7" fillId="3" borderId="12" xfId="0" applyNumberFormat="1" applyFont="1" applyFill="1" applyBorder="1" applyAlignment="1">
      <alignment horizontal="center"/>
    </xf>
    <xf numFmtId="0" fontId="0" fillId="3" borderId="2" xfId="0" applyFont="1" applyFill="1" applyBorder="1"/>
    <xf numFmtId="1" fontId="2" fillId="3" borderId="6" xfId="0" applyNumberFormat="1" applyFont="1" applyFill="1" applyBorder="1" applyAlignment="1">
      <alignment horizontal="center"/>
    </xf>
    <xf numFmtId="0" fontId="0" fillId="3" borderId="16" xfId="0" applyFont="1" applyFill="1" applyBorder="1"/>
    <xf numFmtId="1" fontId="0" fillId="3" borderId="6" xfId="0" applyNumberFormat="1" applyFont="1" applyFill="1" applyBorder="1" applyAlignment="1">
      <alignment horizontal="center"/>
    </xf>
    <xf numFmtId="1" fontId="0" fillId="3" borderId="7" xfId="0" applyNumberFormat="1" applyFont="1" applyFill="1" applyBorder="1" applyAlignment="1">
      <alignment horizontal="center"/>
    </xf>
    <xf numFmtId="1" fontId="0" fillId="3" borderId="8" xfId="0" applyNumberFormat="1" applyFont="1" applyFill="1" applyBorder="1" applyAlignment="1">
      <alignment horizontal="center"/>
    </xf>
    <xf numFmtId="0" fontId="0" fillId="3" borderId="17" xfId="0" applyFont="1" applyFill="1" applyBorder="1"/>
    <xf numFmtId="0" fontId="1" fillId="3" borderId="2" xfId="0" applyFont="1" applyFill="1" applyBorder="1"/>
    <xf numFmtId="1" fontId="4" fillId="3" borderId="13" xfId="0" applyNumberFormat="1" applyFont="1" applyFill="1" applyBorder="1" applyAlignment="1">
      <alignment horizontal="center"/>
    </xf>
    <xf numFmtId="1" fontId="4" fillId="3" borderId="14" xfId="0" applyNumberFormat="1" applyFont="1" applyFill="1" applyBorder="1" applyAlignment="1">
      <alignment horizontal="center"/>
    </xf>
    <xf numFmtId="1" fontId="4" fillId="3" borderId="15" xfId="0" applyNumberFormat="1" applyFont="1" applyFill="1" applyBorder="1" applyAlignment="1">
      <alignment horizontal="center"/>
    </xf>
    <xf numFmtId="0" fontId="1" fillId="3" borderId="34" xfId="0" applyFont="1" applyFill="1" applyBorder="1"/>
    <xf numFmtId="1" fontId="4" fillId="3" borderId="6" xfId="0" applyNumberFormat="1" applyFont="1" applyFill="1" applyBorder="1" applyAlignment="1">
      <alignment horizontal="center"/>
    </xf>
    <xf numFmtId="1" fontId="4" fillId="3" borderId="7" xfId="0" applyNumberFormat="1" applyFont="1" applyFill="1" applyBorder="1" applyAlignment="1">
      <alignment horizontal="center"/>
    </xf>
    <xf numFmtId="1" fontId="4" fillId="3" borderId="8" xfId="0" applyNumberFormat="1" applyFont="1" applyFill="1" applyBorder="1" applyAlignment="1">
      <alignment horizontal="center"/>
    </xf>
    <xf numFmtId="0" fontId="1" fillId="3" borderId="16" xfId="0" applyFont="1" applyFill="1" applyBorder="1"/>
    <xf numFmtId="0" fontId="1" fillId="3" borderId="17" xfId="0" applyFont="1" applyFill="1" applyBorder="1"/>
    <xf numFmtId="1" fontId="4" fillId="3" borderId="10" xfId="0" applyNumberFormat="1" applyFont="1" applyFill="1" applyBorder="1" applyAlignment="1">
      <alignment horizontal="center"/>
    </xf>
    <xf numFmtId="1" fontId="4" fillId="3" borderId="11" xfId="0" applyNumberFormat="1" applyFont="1" applyFill="1" applyBorder="1" applyAlignment="1">
      <alignment horizontal="center"/>
    </xf>
    <xf numFmtId="1" fontId="4" fillId="3" borderId="12" xfId="0" applyNumberFormat="1" applyFont="1" applyFill="1" applyBorder="1" applyAlignment="1">
      <alignment horizontal="center"/>
    </xf>
    <xf numFmtId="0" fontId="10" fillId="3" borderId="29" xfId="0" applyFont="1" applyFill="1" applyBorder="1"/>
    <xf numFmtId="1" fontId="4" fillId="3" borderId="28" xfId="0" applyNumberFormat="1" applyFont="1" applyFill="1" applyBorder="1" applyAlignment="1">
      <alignment horizontal="center"/>
    </xf>
    <xf numFmtId="1" fontId="4" fillId="3" borderId="19" xfId="0" applyNumberFormat="1" applyFont="1" applyFill="1" applyBorder="1" applyAlignment="1">
      <alignment horizontal="center"/>
    </xf>
    <xf numFmtId="1" fontId="4" fillId="3" borderId="20" xfId="0" applyNumberFormat="1" applyFont="1" applyFill="1" applyBorder="1" applyAlignment="1">
      <alignment horizontal="center"/>
    </xf>
    <xf numFmtId="0" fontId="10" fillId="3" borderId="2" xfId="0" applyFont="1" applyFill="1" applyBorder="1"/>
    <xf numFmtId="0" fontId="10" fillId="3" borderId="16" xfId="0" applyFont="1" applyFill="1" applyBorder="1"/>
    <xf numFmtId="0" fontId="10" fillId="3" borderId="17" xfId="0" applyFont="1" applyFill="1" applyBorder="1"/>
    <xf numFmtId="0" fontId="10" fillId="3" borderId="10" xfId="0" applyFont="1" applyFill="1" applyBorder="1"/>
    <xf numFmtId="0" fontId="7" fillId="3" borderId="13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166" fontId="7" fillId="3" borderId="7" xfId="1" applyNumberFormat="1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10" fillId="3" borderId="30" xfId="0" applyFont="1" applyFill="1" applyBorder="1"/>
    <xf numFmtId="0" fontId="0" fillId="3" borderId="31" xfId="0" applyFont="1" applyFill="1" applyBorder="1" applyAlignment="1">
      <alignment horizontal="center"/>
    </xf>
    <xf numFmtId="0" fontId="0" fillId="3" borderId="33" xfId="0" applyFont="1" applyFill="1" applyBorder="1" applyAlignment="1">
      <alignment horizontal="center"/>
    </xf>
    <xf numFmtId="0" fontId="10" fillId="3" borderId="13" xfId="0" applyFont="1" applyFill="1" applyBorder="1"/>
    <xf numFmtId="1" fontId="2" fillId="3" borderId="7" xfId="0" applyNumberFormat="1" applyFont="1" applyFill="1" applyBorder="1" applyAlignment="1">
      <alignment horizontal="center"/>
    </xf>
    <xf numFmtId="0" fontId="0" fillId="0" borderId="0" xfId="0" applyFont="1"/>
    <xf numFmtId="0" fontId="7" fillId="0" borderId="0" xfId="0" applyFont="1"/>
    <xf numFmtId="0" fontId="2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32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left" vertical="top" wrapText="1"/>
    </xf>
    <xf numFmtId="0" fontId="9" fillId="3" borderId="7" xfId="0" applyFont="1" applyFill="1" applyBorder="1" applyAlignment="1">
      <alignment horizontal="left" vertical="top" wrapText="1"/>
    </xf>
    <xf numFmtId="0" fontId="9" fillId="3" borderId="10" xfId="0" applyFont="1" applyFill="1" applyBorder="1" applyAlignment="1">
      <alignment horizontal="left" vertical="top" wrapText="1"/>
    </xf>
    <xf numFmtId="0" fontId="9" fillId="3" borderId="11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E28"/>
  <sheetViews>
    <sheetView tabSelected="1" zoomScale="130" zoomScaleNormal="130" workbookViewId="0">
      <selection activeCell="C3" sqref="C3"/>
    </sheetView>
  </sheetViews>
  <sheetFormatPr defaultRowHeight="15" x14ac:dyDescent="0.25"/>
  <cols>
    <col min="1" max="1" width="6.85546875" customWidth="1"/>
    <col min="2" max="2" width="51.140625" customWidth="1"/>
    <col min="3" max="3" width="21.85546875" customWidth="1"/>
  </cols>
  <sheetData>
    <row r="2" spans="1:5" ht="15.75" x14ac:dyDescent="0.25">
      <c r="A2" s="10"/>
      <c r="B2" s="21" t="s">
        <v>152</v>
      </c>
      <c r="C2" s="19">
        <v>2500</v>
      </c>
    </row>
    <row r="3" spans="1:5" ht="15.75" x14ac:dyDescent="0.25">
      <c r="A3" s="10"/>
      <c r="B3" s="21" t="s">
        <v>4</v>
      </c>
      <c r="C3" s="19">
        <v>2000</v>
      </c>
    </row>
    <row r="4" spans="1:5" ht="15.75" x14ac:dyDescent="0.25">
      <c r="A4" s="10"/>
      <c r="B4" s="22" t="s">
        <v>47</v>
      </c>
      <c r="C4" s="20" t="s">
        <v>151</v>
      </c>
    </row>
    <row r="5" spans="1:5" ht="15.75" x14ac:dyDescent="0.25">
      <c r="A5" s="10"/>
      <c r="B5" s="22" t="s">
        <v>150</v>
      </c>
      <c r="C5" s="20" t="s">
        <v>10</v>
      </c>
    </row>
    <row r="6" spans="1:5" ht="15.75" x14ac:dyDescent="0.25">
      <c r="A6" s="10"/>
      <c r="B6" s="22" t="s">
        <v>48</v>
      </c>
      <c r="C6" s="20" t="s">
        <v>13</v>
      </c>
      <c r="E6" s="4"/>
    </row>
    <row r="7" spans="1:5" ht="15.75" thickBot="1" x14ac:dyDescent="0.3">
      <c r="A7" s="8"/>
    </row>
    <row r="8" spans="1:5" x14ac:dyDescent="0.25">
      <c r="A8" s="9" t="str">
        <f>CONCATENATE($C$4,$C$5,B8)</f>
        <v>Профиль открытыйбез шлегеляВысота двери</v>
      </c>
      <c r="B8" s="1" t="s">
        <v>17</v>
      </c>
      <c r="C8" s="11">
        <f>VLOOKUP($A8,Лист2!A7:H461,VLOOKUP($C$6,Лист3!$B$3:$C$7,2,FALSE),FALSE)</f>
        <v>2460</v>
      </c>
    </row>
    <row r="9" spans="1:5" x14ac:dyDescent="0.25">
      <c r="A9" s="9" t="str">
        <f t="shared" ref="A9:A22" si="0">CONCATENATE($C$4,$C$5,B9)</f>
        <v>Профиль открытыйбез шлегеляШирина двери (2 двери)                                           I-----____I</v>
      </c>
      <c r="B9" s="14" t="s">
        <v>112</v>
      </c>
      <c r="C9" s="12">
        <f>VLOOKUP($A9,Лист2!A8:H462,VLOOKUP($C$6,Лист3!$B$3:$C$7,2,FALSE),FALSE)</f>
        <v>1013</v>
      </c>
    </row>
    <row r="10" spans="1:5" x14ac:dyDescent="0.25">
      <c r="A10" s="9" t="str">
        <f t="shared" si="0"/>
        <v>Профиль открытыйбез шлегеляШирина двери (3 двери)                                    I-----____-----I</v>
      </c>
      <c r="B10" s="14" t="s">
        <v>111</v>
      </c>
      <c r="C10" s="12">
        <f>VLOOKUP($A10,Лист2!A9:H463,VLOOKUP($C$6,Лист3!$B$3:$C$7,2,FALSE),FALSE)</f>
        <v>0</v>
      </c>
    </row>
    <row r="11" spans="1:5" x14ac:dyDescent="0.25">
      <c r="A11" s="9" t="str">
        <f t="shared" si="0"/>
        <v>Профиль открытыйбез шлегеляШирина двери (4 двери) 1 вариант     I----- ____ -----____I</v>
      </c>
      <c r="B11" s="14" t="s">
        <v>109</v>
      </c>
      <c r="C11" s="12">
        <f>VLOOKUP($A11,Лист2!A10:H464,VLOOKUP($C$6,Лист3!$B$3:$C$7,2,FALSE),FALSE)</f>
        <v>0</v>
      </c>
    </row>
    <row r="12" spans="1:5" x14ac:dyDescent="0.25">
      <c r="A12" s="9" t="str">
        <f t="shared" si="0"/>
        <v>Профиль открытыйбез шлегеляШирина двери (4 двери) 2 вариант     I-----____  ____-----I</v>
      </c>
      <c r="B12" s="14" t="s">
        <v>108</v>
      </c>
      <c r="C12" s="12">
        <f>VLOOKUP($A12,Лист2!A11:H465,VLOOKUP($C$6,Лист3!$B$3:$C$7,2,FALSE),FALSE)</f>
        <v>0</v>
      </c>
    </row>
    <row r="13" spans="1:5" ht="15.75" thickBot="1" x14ac:dyDescent="0.3">
      <c r="A13" s="9" t="str">
        <f t="shared" si="0"/>
        <v>Профиль открытыйбез шлегеляШирина двери (5 дверей)                  I-----____-----____-----I</v>
      </c>
      <c r="B13" s="15" t="s">
        <v>110</v>
      </c>
      <c r="C13" s="13">
        <f>VLOOKUP($A13,Лист2!A12:H466,VLOOKUP($C$6,Лист3!$B$3:$C$7,2,FALSE),FALSE)</f>
        <v>0</v>
      </c>
    </row>
    <row r="14" spans="1:5" x14ac:dyDescent="0.25">
      <c r="A14" s="9" t="str">
        <f>CONCATENATE($C$4,$C$5,B14)</f>
        <v>Профиль открытыйбез шлегеляРельс верхний, мм</v>
      </c>
      <c r="B14" s="1" t="s">
        <v>103</v>
      </c>
      <c r="C14" s="16">
        <f>VLOOKUP($A14,Лист2!A13:H467,VLOOKUP($C$6,Лист3!$B$3:$C$7,2,FALSE),FALSE)</f>
        <v>2000</v>
      </c>
    </row>
    <row r="15" spans="1:5" x14ac:dyDescent="0.25">
      <c r="A15" s="9" t="str">
        <f>CONCATENATE($C$4,$C$5,B15)</f>
        <v>Профиль открытыйбез шлегеляРельс нижний, мм</v>
      </c>
      <c r="B15" s="2" t="s">
        <v>104</v>
      </c>
      <c r="C15" s="12">
        <f>VLOOKUP($A15,Лист2!A14:H468,VLOOKUP($C$6,Лист3!$B$3:$C$7,2,FALSE),FALSE)</f>
        <v>2000</v>
      </c>
    </row>
    <row r="16" spans="1:5" x14ac:dyDescent="0.25">
      <c r="A16" s="9" t="str">
        <f t="shared" si="0"/>
        <v>Профиль открытыйбез шлегеляГоризонт верхний, мм</v>
      </c>
      <c r="B16" s="2" t="s">
        <v>105</v>
      </c>
      <c r="C16" s="12">
        <f>VLOOKUP($A16,Лист2!A15:H469,VLOOKUP($C$6,Лист3!$B$3:$C$7,2,FALSE),FALSE)</f>
        <v>963</v>
      </c>
    </row>
    <row r="17" spans="1:3" x14ac:dyDescent="0.25">
      <c r="A17" s="9" t="str">
        <f t="shared" si="0"/>
        <v>Профиль открытыйбез шлегеляГоризонт нижний, мм</v>
      </c>
      <c r="B17" s="2" t="s">
        <v>106</v>
      </c>
      <c r="C17" s="12">
        <f>VLOOKUP($A17,Лист2!A16:H470,VLOOKUP($C$6,Лист3!$B$3:$C$7,2,FALSE),FALSE)</f>
        <v>963</v>
      </c>
    </row>
    <row r="18" spans="1:3" ht="15.75" thickBot="1" x14ac:dyDescent="0.3">
      <c r="A18" s="9" t="str">
        <f t="shared" si="0"/>
        <v>Профиль открытыйбез шлегеляСоединительный профиль, мм</v>
      </c>
      <c r="B18" s="3" t="s">
        <v>107</v>
      </c>
      <c r="C18" s="13">
        <f>VLOOKUP($A18,Лист2!A17:H471,VLOOKUP($C$6,Лист3!$B$3:$C$7,2,FALSE),FALSE)</f>
        <v>963</v>
      </c>
    </row>
    <row r="19" spans="1:3" ht="15.75" x14ac:dyDescent="0.25">
      <c r="A19" s="9" t="str">
        <f t="shared" si="0"/>
        <v>Профиль открытыйбез шлегеляРазмер заполнения ЛДСП   L, мм</v>
      </c>
      <c r="B19" s="5" t="s">
        <v>99</v>
      </c>
      <c r="C19" s="11">
        <f>VLOOKUP($A19,Лист2!A18:H472,VLOOKUP($C$6,Лист3!$B$3:$C$7,2,FALSE),FALSE)</f>
        <v>977</v>
      </c>
    </row>
    <row r="20" spans="1:3" ht="15.75" x14ac:dyDescent="0.25">
      <c r="A20" s="9" t="str">
        <f t="shared" si="0"/>
        <v>Профиль открытыйбез шлегеляРазмер заполнения ЛДСП   H, мм</v>
      </c>
      <c r="B20" s="6" t="s">
        <v>100</v>
      </c>
      <c r="C20" s="12">
        <f>VLOOKUP($A20,Лист2!A19:H473,VLOOKUP($C$6,Лист3!$B$3:$C$7,2,FALSE),FALSE)</f>
        <v>2402</v>
      </c>
    </row>
    <row r="21" spans="1:3" ht="15.75" x14ac:dyDescent="0.25">
      <c r="A21" s="9" t="str">
        <f t="shared" si="0"/>
        <v>Профиль открытыйбез шлегеляРазмер заполнения  зеркало/стекло  L, мм</v>
      </c>
      <c r="B21" s="6" t="s">
        <v>101</v>
      </c>
      <c r="C21" s="12">
        <f>VLOOKUP($A21,Лист2!A20:H474,VLOOKUP($C$6,Лист3!$B$3:$C$7,2,FALSE),FALSE)</f>
        <v>975</v>
      </c>
    </row>
    <row r="22" spans="1:3" ht="16.5" thickBot="1" x14ac:dyDescent="0.3">
      <c r="A22" s="9" t="str">
        <f t="shared" si="0"/>
        <v>Профиль открытыйбез шлегеляРазмер заполнения  зеркало/стекло  H, мм</v>
      </c>
      <c r="B22" s="7" t="s">
        <v>102</v>
      </c>
      <c r="C22" s="13">
        <f>VLOOKUP($A22,Лист2!A21:H475,VLOOKUP($C$6,Лист3!$B$3:$C$7,2,FALSE),FALSE)</f>
        <v>2400</v>
      </c>
    </row>
    <row r="23" spans="1:3" x14ac:dyDescent="0.25">
      <c r="A23" s="10"/>
    </row>
    <row r="24" spans="1:3" x14ac:dyDescent="0.25">
      <c r="A24" s="10"/>
    </row>
    <row r="25" spans="1:3" x14ac:dyDescent="0.25">
      <c r="A25" s="10"/>
    </row>
    <row r="26" spans="1:3" x14ac:dyDescent="0.25">
      <c r="A26" s="10"/>
    </row>
    <row r="27" spans="1:3" x14ac:dyDescent="0.25">
      <c r="A27" s="10"/>
    </row>
    <row r="28" spans="1:3" x14ac:dyDescent="0.25">
      <c r="A28" s="10"/>
    </row>
  </sheetData>
  <sheetProtection formatCells="0" formatColumns="0" formatRows="0" insertColumns="0" insertRows="0" insertHyperlinks="0" deleteColumns="0" deleteRows="0" sort="0" autoFilter="0" pivotTables="0"/>
  <protectedRanges>
    <protectedRange sqref="B2:C3" name="b_1"/>
  </protectedRanges>
  <dataValidations count="3">
    <dataValidation type="list" allowBlank="1" showInputMessage="1" showErrorMessage="1" sqref="C5">
      <formula1>"без шлегеля,со шлегелем"</formula1>
    </dataValidation>
    <dataValidation type="list" allowBlank="1" showInputMessage="1" showErrorMessage="1" sqref="C6">
      <formula1>"2 дв.,3 дв.,4 дв. 1 вариант,4 дв. 2 вариант,5 дв."</formula1>
    </dataValidation>
    <dataValidation type="list" allowBlank="1" showInputMessage="1" showErrorMessage="1" sqref="C4">
      <formula1>"L-ассиметрия,Закрытый профиль,Профиль открытый"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I461"/>
  <sheetViews>
    <sheetView topLeftCell="A38" zoomScale="130" zoomScaleNormal="130" workbookViewId="0">
      <selection activeCell="I46" sqref="I46"/>
    </sheetView>
  </sheetViews>
  <sheetFormatPr defaultRowHeight="15" x14ac:dyDescent="0.25"/>
  <cols>
    <col min="1" max="1" width="43.140625" style="23" customWidth="1"/>
    <col min="2" max="2" width="51.85546875" style="23" customWidth="1"/>
    <col min="3" max="3" width="19.140625" style="23" bestFit="1" customWidth="1"/>
    <col min="4" max="4" width="9.7109375" style="23" bestFit="1" customWidth="1"/>
    <col min="5" max="5" width="9.140625" style="23"/>
    <col min="6" max="6" width="9.85546875" style="23" customWidth="1"/>
    <col min="7" max="8" width="9.140625" style="23"/>
    <col min="9" max="9" width="19.140625" style="23" bestFit="1" customWidth="1"/>
    <col min="10" max="16384" width="9.140625" style="18"/>
  </cols>
  <sheetData>
    <row r="1" spans="1:9" ht="16.5" thickBot="1" x14ac:dyDescent="0.3">
      <c r="B1" s="24"/>
    </row>
    <row r="2" spans="1:9" ht="18.75" x14ac:dyDescent="0.3">
      <c r="B2" s="25" t="s">
        <v>0</v>
      </c>
      <c r="D2" s="119" t="s">
        <v>1</v>
      </c>
      <c r="E2" s="120"/>
      <c r="F2" s="120"/>
      <c r="G2" s="120"/>
      <c r="H2" s="120"/>
      <c r="I2" s="121"/>
    </row>
    <row r="3" spans="1:9" ht="18.75" x14ac:dyDescent="0.3">
      <c r="B3" s="26">
        <f>Лист1!C2</f>
        <v>2500</v>
      </c>
      <c r="D3" s="122" t="s">
        <v>2</v>
      </c>
      <c r="E3" s="123"/>
      <c r="F3" s="123"/>
      <c r="G3" s="123"/>
      <c r="H3" s="123"/>
      <c r="I3" s="27" t="s">
        <v>3</v>
      </c>
    </row>
    <row r="4" spans="1:9" ht="18.75" x14ac:dyDescent="0.3">
      <c r="B4" s="26" t="s">
        <v>4</v>
      </c>
      <c r="D4" s="122" t="s">
        <v>5</v>
      </c>
      <c r="E4" s="123"/>
      <c r="F4" s="123"/>
      <c r="G4" s="123"/>
      <c r="H4" s="123"/>
      <c r="I4" s="27" t="s">
        <v>6</v>
      </c>
    </row>
    <row r="5" spans="1:9" ht="19.5" thickBot="1" x14ac:dyDescent="0.35">
      <c r="B5" s="28">
        <f>Лист1!C3</f>
        <v>2000</v>
      </c>
      <c r="D5" s="124" t="s">
        <v>7</v>
      </c>
      <c r="E5" s="125"/>
      <c r="F5" s="125"/>
      <c r="G5" s="125"/>
      <c r="H5" s="125"/>
      <c r="I5" s="29" t="s">
        <v>8</v>
      </c>
    </row>
    <row r="6" spans="1:9" ht="15.75" thickBot="1" x14ac:dyDescent="0.3"/>
    <row r="7" spans="1:9" ht="15.75" thickBot="1" x14ac:dyDescent="0.3">
      <c r="B7" s="107" t="s">
        <v>9</v>
      </c>
      <c r="C7" s="117" t="s">
        <v>151</v>
      </c>
      <c r="D7" s="117"/>
      <c r="E7" s="117"/>
      <c r="F7" s="117"/>
      <c r="G7" s="117"/>
      <c r="H7" s="118"/>
    </row>
    <row r="8" spans="1:9" x14ac:dyDescent="0.25">
      <c r="B8" s="108"/>
      <c r="C8" s="111" t="s">
        <v>10</v>
      </c>
      <c r="D8" s="111"/>
      <c r="E8" s="111"/>
      <c r="F8" s="111"/>
      <c r="G8" s="111"/>
      <c r="H8" s="112"/>
    </row>
    <row r="9" spans="1:9" ht="15.75" thickBot="1" x14ac:dyDescent="0.3">
      <c r="B9" s="108"/>
      <c r="C9" s="30" t="s">
        <v>12</v>
      </c>
      <c r="D9" s="31" t="s">
        <v>13</v>
      </c>
      <c r="E9" s="31" t="s">
        <v>14</v>
      </c>
      <c r="F9" s="31" t="s">
        <v>50</v>
      </c>
      <c r="G9" s="31" t="s">
        <v>51</v>
      </c>
      <c r="H9" s="32" t="s">
        <v>16</v>
      </c>
    </row>
    <row r="10" spans="1:9" ht="18.75" x14ac:dyDescent="0.3">
      <c r="A10" s="23" t="str">
        <f>CONCATENATE($C$7,$C$8,B10)</f>
        <v>Профиль открытыйбез шлегеляВысота двери</v>
      </c>
      <c r="B10" s="33" t="s">
        <v>17</v>
      </c>
      <c r="C10" s="34" t="s">
        <v>18</v>
      </c>
      <c r="D10" s="35">
        <f>$B$3-40</f>
        <v>2460</v>
      </c>
      <c r="E10" s="36">
        <f>$B$3-40</f>
        <v>2460</v>
      </c>
      <c r="F10" s="36">
        <f>$B$3-40</f>
        <v>2460</v>
      </c>
      <c r="G10" s="36">
        <f>$B$3-40</f>
        <v>2460</v>
      </c>
      <c r="H10" s="37">
        <f>$B$3-40</f>
        <v>2460</v>
      </c>
    </row>
    <row r="11" spans="1:9" ht="18.75" x14ac:dyDescent="0.3">
      <c r="A11" s="23" t="str">
        <f t="shared" ref="A11:A24" si="0">CONCATENATE($C$7,$C$8,B11)</f>
        <v>Профиль открытыйбез шлегеляШирина двери (2 двери)                                           I-----____I</v>
      </c>
      <c r="B11" s="38" t="s">
        <v>112</v>
      </c>
      <c r="C11" s="39" t="s">
        <v>19</v>
      </c>
      <c r="D11" s="40">
        <f>($B$5+26)/2</f>
        <v>1013</v>
      </c>
      <c r="E11" s="41"/>
      <c r="F11" s="41"/>
      <c r="G11" s="41"/>
      <c r="H11" s="42"/>
    </row>
    <row r="12" spans="1:9" ht="18.75" x14ac:dyDescent="0.3">
      <c r="A12" s="23" t="str">
        <f t="shared" si="0"/>
        <v>Профиль открытыйбез шлегеляШирина двери (3 двери)                                    I-----____-----I</v>
      </c>
      <c r="B12" s="38" t="s">
        <v>111</v>
      </c>
      <c r="C12" s="39" t="s">
        <v>21</v>
      </c>
      <c r="D12" s="40"/>
      <c r="E12" s="41">
        <f>($B$5+26*2)/3</f>
        <v>684</v>
      </c>
      <c r="F12" s="41"/>
      <c r="G12" s="41"/>
      <c r="H12" s="42"/>
    </row>
    <row r="13" spans="1:9" ht="18.75" x14ac:dyDescent="0.3">
      <c r="A13" s="23" t="str">
        <f t="shared" si="0"/>
        <v>Профиль открытыйбез шлегеляШирина двери (4 двери) 1 вариант     I----- ____ -----____I</v>
      </c>
      <c r="B13" s="38" t="s">
        <v>109</v>
      </c>
      <c r="C13" s="39" t="s">
        <v>23</v>
      </c>
      <c r="D13" s="40"/>
      <c r="E13" s="41"/>
      <c r="F13" s="41">
        <f>($B$5+26*3)/4</f>
        <v>519.5</v>
      </c>
      <c r="G13" s="41"/>
      <c r="H13" s="42"/>
    </row>
    <row r="14" spans="1:9" ht="18.75" x14ac:dyDescent="0.3">
      <c r="A14" s="23" t="str">
        <f t="shared" si="0"/>
        <v>Профиль открытыйбез шлегеляШирина двери (4 двери) 2 вариант     I-----____  ____-----I</v>
      </c>
      <c r="B14" s="38" t="s">
        <v>108</v>
      </c>
      <c r="C14" s="39" t="s">
        <v>25</v>
      </c>
      <c r="D14" s="40"/>
      <c r="E14" s="41"/>
      <c r="F14" s="41"/>
      <c r="G14" s="41">
        <f>($B$5+26*2)/4</f>
        <v>513</v>
      </c>
      <c r="H14" s="42"/>
    </row>
    <row r="15" spans="1:9" ht="19.5" thickBot="1" x14ac:dyDescent="0.35">
      <c r="A15" s="23" t="str">
        <f t="shared" si="0"/>
        <v>Профиль открытыйбез шлегеляШирина двери (5 дверей)                  I-----____-----____-----I</v>
      </c>
      <c r="B15" s="43" t="s">
        <v>110</v>
      </c>
      <c r="C15" s="44" t="s">
        <v>27</v>
      </c>
      <c r="D15" s="45"/>
      <c r="E15" s="46"/>
      <c r="F15" s="46"/>
      <c r="G15" s="46"/>
      <c r="H15" s="47">
        <f>($B$5+26*4)/5</f>
        <v>420.8</v>
      </c>
    </row>
    <row r="16" spans="1:9" ht="15.75" thickBot="1" x14ac:dyDescent="0.3">
      <c r="A16" s="23" t="str">
        <f t="shared" si="0"/>
        <v>Профиль открытыйбез шлегеляРельс верхний, мм</v>
      </c>
      <c r="B16" s="48" t="s">
        <v>103</v>
      </c>
      <c r="C16" s="34" t="s">
        <v>115</v>
      </c>
      <c r="D16" s="49">
        <f>$B5</f>
        <v>2000</v>
      </c>
      <c r="E16" s="49">
        <f t="shared" ref="E16:H16" si="1">$B5</f>
        <v>2000</v>
      </c>
      <c r="F16" s="49">
        <f t="shared" si="1"/>
        <v>2000</v>
      </c>
      <c r="G16" s="49">
        <f t="shared" si="1"/>
        <v>2000</v>
      </c>
      <c r="H16" s="49">
        <f t="shared" si="1"/>
        <v>2000</v>
      </c>
    </row>
    <row r="17" spans="1:8" x14ac:dyDescent="0.25">
      <c r="A17" s="23" t="str">
        <f t="shared" si="0"/>
        <v>Профиль открытыйбез шлегеляРельс нижний, мм</v>
      </c>
      <c r="B17" s="50" t="s">
        <v>104</v>
      </c>
      <c r="C17" s="34" t="s">
        <v>115</v>
      </c>
      <c r="D17" s="49">
        <f>$B5</f>
        <v>2000</v>
      </c>
      <c r="E17" s="49">
        <f t="shared" ref="E17:H17" si="2">$B5</f>
        <v>2000</v>
      </c>
      <c r="F17" s="49">
        <f t="shared" si="2"/>
        <v>2000</v>
      </c>
      <c r="G17" s="49">
        <f t="shared" si="2"/>
        <v>2000</v>
      </c>
      <c r="H17" s="49">
        <f t="shared" si="2"/>
        <v>2000</v>
      </c>
    </row>
    <row r="18" spans="1:8" x14ac:dyDescent="0.25">
      <c r="A18" s="23" t="str">
        <f t="shared" si="0"/>
        <v>Профиль открытыйбез шлегеляГоризонт верхний, мм</v>
      </c>
      <c r="B18" s="50" t="s">
        <v>105</v>
      </c>
      <c r="C18" s="39" t="s">
        <v>29</v>
      </c>
      <c r="D18" s="51">
        <f>D11-50</f>
        <v>963</v>
      </c>
      <c r="E18" s="52">
        <f>E12-50</f>
        <v>634</v>
      </c>
      <c r="F18" s="52">
        <f>F13-50</f>
        <v>469.5</v>
      </c>
      <c r="G18" s="52">
        <f>G14-50</f>
        <v>463</v>
      </c>
      <c r="H18" s="53">
        <f>H15-50</f>
        <v>370.8</v>
      </c>
    </row>
    <row r="19" spans="1:8" x14ac:dyDescent="0.25">
      <c r="A19" s="23" t="str">
        <f t="shared" si="0"/>
        <v>Профиль открытыйбез шлегеляГоризонт нижний, мм</v>
      </c>
      <c r="B19" s="50" t="s">
        <v>106</v>
      </c>
      <c r="C19" s="39" t="s">
        <v>29</v>
      </c>
      <c r="D19" s="51">
        <f>D11-50</f>
        <v>963</v>
      </c>
      <c r="E19" s="52">
        <f>E12-50</f>
        <v>634</v>
      </c>
      <c r="F19" s="52">
        <f>F13-50</f>
        <v>469.5</v>
      </c>
      <c r="G19" s="52">
        <f>G14-50</f>
        <v>463</v>
      </c>
      <c r="H19" s="53">
        <f>H15-50</f>
        <v>370.8</v>
      </c>
    </row>
    <row r="20" spans="1:8" ht="15.75" thickBot="1" x14ac:dyDescent="0.3">
      <c r="A20" s="23" t="str">
        <f t="shared" si="0"/>
        <v>Профиль открытыйбез шлегеляСоединительный профиль, мм</v>
      </c>
      <c r="B20" s="54" t="s">
        <v>107</v>
      </c>
      <c r="C20" s="39" t="s">
        <v>29</v>
      </c>
      <c r="D20" s="51">
        <f>D11-50</f>
        <v>963</v>
      </c>
      <c r="E20" s="52">
        <f>E12-50</f>
        <v>634</v>
      </c>
      <c r="F20" s="52">
        <f>F13-50</f>
        <v>469.5</v>
      </c>
      <c r="G20" s="52">
        <f>G14-50</f>
        <v>463</v>
      </c>
      <c r="H20" s="53">
        <f>H15-50</f>
        <v>370.8</v>
      </c>
    </row>
    <row r="21" spans="1:8" ht="15.75" x14ac:dyDescent="0.25">
      <c r="A21" s="23" t="str">
        <f t="shared" si="0"/>
        <v>Профиль открытыйбез шлегеляРазмер заполнения ЛДСП   L, мм</v>
      </c>
      <c r="B21" s="55" t="s">
        <v>99</v>
      </c>
      <c r="C21" s="34" t="s">
        <v>31</v>
      </c>
      <c r="D21" s="56">
        <f>D11-36</f>
        <v>977</v>
      </c>
      <c r="E21" s="57">
        <f>E12-36</f>
        <v>648</v>
      </c>
      <c r="F21" s="57">
        <f>F13-36</f>
        <v>483.5</v>
      </c>
      <c r="G21" s="57">
        <f>G14-36</f>
        <v>477</v>
      </c>
      <c r="H21" s="58">
        <f>H15-36</f>
        <v>384.8</v>
      </c>
    </row>
    <row r="22" spans="1:8" ht="15.75" x14ac:dyDescent="0.25">
      <c r="A22" s="23" t="str">
        <f t="shared" si="0"/>
        <v>Профиль открытыйбез шлегеляРазмер заполнения ЛДСП   H, мм</v>
      </c>
      <c r="B22" s="59" t="s">
        <v>100</v>
      </c>
      <c r="C22" s="39" t="s">
        <v>32</v>
      </c>
      <c r="D22" s="60">
        <f>D10-58</f>
        <v>2402</v>
      </c>
      <c r="E22" s="61">
        <f>E10-58</f>
        <v>2402</v>
      </c>
      <c r="F22" s="61">
        <f>F10-58</f>
        <v>2402</v>
      </c>
      <c r="G22" s="61">
        <f>G10-58</f>
        <v>2402</v>
      </c>
      <c r="H22" s="62">
        <f>H10-58</f>
        <v>2402</v>
      </c>
    </row>
    <row r="23" spans="1:8" ht="15.75" x14ac:dyDescent="0.25">
      <c r="A23" s="23" t="str">
        <f t="shared" si="0"/>
        <v>Профиль открытыйбез шлегеляРазмер заполнения  зеркало/стекло  L, мм</v>
      </c>
      <c r="B23" s="63" t="s">
        <v>101</v>
      </c>
      <c r="C23" s="39" t="s">
        <v>33</v>
      </c>
      <c r="D23" s="60">
        <f>D11-38</f>
        <v>975</v>
      </c>
      <c r="E23" s="61">
        <f>E12-38</f>
        <v>646</v>
      </c>
      <c r="F23" s="61">
        <f>F13-38</f>
        <v>481.5</v>
      </c>
      <c r="G23" s="61">
        <f>G14-38</f>
        <v>475</v>
      </c>
      <c r="H23" s="62">
        <f>H15-38</f>
        <v>382.8</v>
      </c>
    </row>
    <row r="24" spans="1:8" ht="16.5" thickBot="1" x14ac:dyDescent="0.3">
      <c r="A24" s="23" t="str">
        <f t="shared" si="0"/>
        <v>Профиль открытыйбез шлегеляРазмер заполнения  зеркало/стекло  H, мм</v>
      </c>
      <c r="B24" s="64" t="s">
        <v>102</v>
      </c>
      <c r="C24" s="44" t="s">
        <v>34</v>
      </c>
      <c r="D24" s="65">
        <f>D10-60</f>
        <v>2400</v>
      </c>
      <c r="E24" s="66">
        <f>E10-60</f>
        <v>2400</v>
      </c>
      <c r="F24" s="66">
        <f>F10-60</f>
        <v>2400</v>
      </c>
      <c r="G24" s="66">
        <f>G10-60</f>
        <v>2400</v>
      </c>
      <c r="H24" s="67">
        <f>H10-60</f>
        <v>2400</v>
      </c>
    </row>
    <row r="25" spans="1:8" ht="15.75" thickBot="1" x14ac:dyDescent="0.3"/>
    <row r="26" spans="1:8" ht="15.75" thickBot="1" x14ac:dyDescent="0.3">
      <c r="B26" s="107" t="s">
        <v>9</v>
      </c>
      <c r="C26" s="117" t="s">
        <v>151</v>
      </c>
      <c r="D26" s="117"/>
      <c r="E26" s="117"/>
      <c r="F26" s="117"/>
      <c r="G26" s="117"/>
      <c r="H26" s="118"/>
    </row>
    <row r="27" spans="1:8" x14ac:dyDescent="0.25">
      <c r="B27" s="108"/>
      <c r="C27" s="111" t="s">
        <v>11</v>
      </c>
      <c r="D27" s="111"/>
      <c r="E27" s="111"/>
      <c r="F27" s="111"/>
      <c r="G27" s="111"/>
      <c r="H27" s="112"/>
    </row>
    <row r="28" spans="1:8" ht="15.75" thickBot="1" x14ac:dyDescent="0.3">
      <c r="B28" s="108"/>
      <c r="C28" s="30" t="s">
        <v>12</v>
      </c>
      <c r="D28" s="31" t="s">
        <v>13</v>
      </c>
      <c r="E28" s="31" t="s">
        <v>14</v>
      </c>
      <c r="F28" s="31" t="s">
        <v>50</v>
      </c>
      <c r="G28" s="31" t="s">
        <v>51</v>
      </c>
      <c r="H28" s="32" t="s">
        <v>16</v>
      </c>
    </row>
    <row r="29" spans="1:8" ht="18.75" x14ac:dyDescent="0.3">
      <c r="A29" s="23" t="str">
        <f>CONCATENATE($C$26,$C$27,B29)</f>
        <v>Профиль открытыйсо шлегелемВысота двери</v>
      </c>
      <c r="B29" s="33" t="s">
        <v>17</v>
      </c>
      <c r="C29" s="34" t="s">
        <v>18</v>
      </c>
      <c r="D29" s="35">
        <f>$B$3-40</f>
        <v>2460</v>
      </c>
      <c r="E29" s="36">
        <f>$B$3-40</f>
        <v>2460</v>
      </c>
      <c r="F29" s="36">
        <f>$B$3-40</f>
        <v>2460</v>
      </c>
      <c r="G29" s="36">
        <f>$B$3-40</f>
        <v>2460</v>
      </c>
      <c r="H29" s="37">
        <f>$B$3-40</f>
        <v>2460</v>
      </c>
    </row>
    <row r="30" spans="1:8" ht="18.75" x14ac:dyDescent="0.3">
      <c r="A30" s="23" t="str">
        <f t="shared" ref="A30:A43" si="3">CONCATENATE($C$26,$C$27,B30)</f>
        <v>Профиль открытыйсо шлегелемШирина двери (2 двери)                                           I-----____I</v>
      </c>
      <c r="B30" s="38" t="s">
        <v>112</v>
      </c>
      <c r="C30" s="39" t="s">
        <v>20</v>
      </c>
      <c r="D30" s="40">
        <f>($B$5+26-8)/2</f>
        <v>1009</v>
      </c>
      <c r="E30" s="41"/>
      <c r="F30" s="41"/>
      <c r="G30" s="41"/>
      <c r="H30" s="42"/>
    </row>
    <row r="31" spans="1:8" ht="18.75" x14ac:dyDescent="0.3">
      <c r="A31" s="23" t="str">
        <f t="shared" si="3"/>
        <v>Профиль открытыйсо шлегелемШирина двери (3 двери)                                    I-----____-----I</v>
      </c>
      <c r="B31" s="38" t="s">
        <v>111</v>
      </c>
      <c r="C31" s="39" t="s">
        <v>22</v>
      </c>
      <c r="D31" s="40"/>
      <c r="E31" s="41">
        <f>($B$5+26*2-8)/3</f>
        <v>681.33333333333337</v>
      </c>
      <c r="F31" s="41"/>
      <c r="G31" s="41"/>
      <c r="H31" s="42"/>
    </row>
    <row r="32" spans="1:8" ht="18.75" x14ac:dyDescent="0.3">
      <c r="A32" s="23" t="str">
        <f t="shared" si="3"/>
        <v>Профиль открытыйсо шлегелемШирина двери (4 двери) 1 вариант     I----- ____ -----____I</v>
      </c>
      <c r="B32" s="38" t="s">
        <v>109</v>
      </c>
      <c r="C32" s="39" t="s">
        <v>24</v>
      </c>
      <c r="D32" s="40"/>
      <c r="E32" s="41"/>
      <c r="F32" s="41">
        <f>($B$5+26*3-8)/4</f>
        <v>517.5</v>
      </c>
      <c r="G32" s="41"/>
      <c r="H32" s="42"/>
    </row>
    <row r="33" spans="1:8" ht="18.75" x14ac:dyDescent="0.3">
      <c r="A33" s="23" t="str">
        <f t="shared" si="3"/>
        <v>Профиль открытыйсо шлегелемШирина двери (4 двери) 2 вариант     I-----____  ____-----I</v>
      </c>
      <c r="B33" s="38" t="s">
        <v>108</v>
      </c>
      <c r="C33" s="39" t="s">
        <v>26</v>
      </c>
      <c r="D33" s="40"/>
      <c r="E33" s="41"/>
      <c r="F33" s="41"/>
      <c r="G33" s="41">
        <f>($B$5+26*2-8)/4</f>
        <v>511</v>
      </c>
      <c r="H33" s="42"/>
    </row>
    <row r="34" spans="1:8" ht="19.5" thickBot="1" x14ac:dyDescent="0.35">
      <c r="A34" s="23" t="str">
        <f t="shared" si="3"/>
        <v>Профиль открытыйсо шлегелемШирина двери (5 дверей)                  I-----____-----____-----I</v>
      </c>
      <c r="B34" s="43" t="s">
        <v>110</v>
      </c>
      <c r="C34" s="44" t="s">
        <v>28</v>
      </c>
      <c r="D34" s="45"/>
      <c r="E34" s="46"/>
      <c r="F34" s="46"/>
      <c r="G34" s="46"/>
      <c r="H34" s="47">
        <f>($B$5+26*4-8)/5</f>
        <v>419.2</v>
      </c>
    </row>
    <row r="35" spans="1:8" ht="15.75" thickBot="1" x14ac:dyDescent="0.3">
      <c r="A35" s="23" t="str">
        <f t="shared" si="3"/>
        <v>Профиль открытыйсо шлегелемРельс верхний, мм</v>
      </c>
      <c r="B35" s="48" t="s">
        <v>103</v>
      </c>
      <c r="C35" s="34" t="s">
        <v>115</v>
      </c>
      <c r="D35" s="49">
        <f t="shared" ref="D35:H36" si="4">$B$5</f>
        <v>2000</v>
      </c>
      <c r="E35" s="49">
        <f t="shared" si="4"/>
        <v>2000</v>
      </c>
      <c r="F35" s="49">
        <f t="shared" si="4"/>
        <v>2000</v>
      </c>
      <c r="G35" s="49">
        <f t="shared" si="4"/>
        <v>2000</v>
      </c>
      <c r="H35" s="49">
        <f t="shared" si="4"/>
        <v>2000</v>
      </c>
    </row>
    <row r="36" spans="1:8" x14ac:dyDescent="0.25">
      <c r="A36" s="23" t="str">
        <f t="shared" si="3"/>
        <v>Профиль открытыйсо шлегелемРельс нижний, мм</v>
      </c>
      <c r="B36" s="50" t="s">
        <v>104</v>
      </c>
      <c r="C36" s="34" t="s">
        <v>115</v>
      </c>
      <c r="D36" s="49">
        <f t="shared" si="4"/>
        <v>2000</v>
      </c>
      <c r="E36" s="49">
        <f t="shared" si="4"/>
        <v>2000</v>
      </c>
      <c r="F36" s="49">
        <f t="shared" si="4"/>
        <v>2000</v>
      </c>
      <c r="G36" s="49">
        <f t="shared" si="4"/>
        <v>2000</v>
      </c>
      <c r="H36" s="49">
        <f t="shared" si="4"/>
        <v>2000</v>
      </c>
    </row>
    <row r="37" spans="1:8" x14ac:dyDescent="0.25">
      <c r="A37" s="23" t="str">
        <f t="shared" si="3"/>
        <v>Профиль открытыйсо шлегелемГоризонт верхний, мм</v>
      </c>
      <c r="B37" s="50" t="s">
        <v>105</v>
      </c>
      <c r="C37" s="39" t="s">
        <v>29</v>
      </c>
      <c r="D37" s="51">
        <f>D30-50</f>
        <v>959</v>
      </c>
      <c r="E37" s="52">
        <f>E31-50</f>
        <v>631.33333333333337</v>
      </c>
      <c r="F37" s="52">
        <f>F32-50</f>
        <v>467.5</v>
      </c>
      <c r="G37" s="52">
        <f>G33-40</f>
        <v>471</v>
      </c>
      <c r="H37" s="53">
        <f>H34-49</f>
        <v>370.2</v>
      </c>
    </row>
    <row r="38" spans="1:8" x14ac:dyDescent="0.25">
      <c r="A38" s="23" t="str">
        <f t="shared" si="3"/>
        <v>Профиль открытыйсо шлегелемГоризонт нижний, мм</v>
      </c>
      <c r="B38" s="50" t="s">
        <v>106</v>
      </c>
      <c r="C38" s="39" t="s">
        <v>29</v>
      </c>
      <c r="D38" s="51">
        <f>D30-50</f>
        <v>959</v>
      </c>
      <c r="E38" s="52">
        <f>E31-50</f>
        <v>631.33333333333337</v>
      </c>
      <c r="F38" s="52">
        <f>F32-50</f>
        <v>467.5</v>
      </c>
      <c r="G38" s="52">
        <f>G33-40</f>
        <v>471</v>
      </c>
      <c r="H38" s="53">
        <f>H34-49</f>
        <v>370.2</v>
      </c>
    </row>
    <row r="39" spans="1:8" ht="15.75" thickBot="1" x14ac:dyDescent="0.3">
      <c r="A39" s="23" t="str">
        <f t="shared" si="3"/>
        <v>Профиль открытыйсо шлегелемСоединительный профиль, мм</v>
      </c>
      <c r="B39" s="54" t="s">
        <v>107</v>
      </c>
      <c r="C39" s="39" t="s">
        <v>29</v>
      </c>
      <c r="D39" s="51">
        <f>D30-50</f>
        <v>959</v>
      </c>
      <c r="E39" s="52">
        <f>E31-50</f>
        <v>631.33333333333337</v>
      </c>
      <c r="F39" s="52">
        <f>F32-50</f>
        <v>467.5</v>
      </c>
      <c r="G39" s="52">
        <f>G33-40</f>
        <v>471</v>
      </c>
      <c r="H39" s="53">
        <f>H34-49</f>
        <v>370.2</v>
      </c>
    </row>
    <row r="40" spans="1:8" ht="15.75" x14ac:dyDescent="0.25">
      <c r="A40" s="23" t="str">
        <f t="shared" si="3"/>
        <v>Профиль открытыйсо шлегелемРазмер заполнения ЛДСП   L, мм</v>
      </c>
      <c r="B40" s="55" t="s">
        <v>99</v>
      </c>
      <c r="C40" s="68" t="s">
        <v>31</v>
      </c>
      <c r="D40" s="69">
        <f>D30-36</f>
        <v>973</v>
      </c>
      <c r="E40" s="70">
        <f>E31-36</f>
        <v>645.33333333333337</v>
      </c>
      <c r="F40" s="70">
        <f>F32-36</f>
        <v>481.5</v>
      </c>
      <c r="G40" s="70">
        <f>G33-36</f>
        <v>475</v>
      </c>
      <c r="H40" s="71">
        <f>H34-36</f>
        <v>383.2</v>
      </c>
    </row>
    <row r="41" spans="1:8" ht="15.75" x14ac:dyDescent="0.25">
      <c r="A41" s="23" t="str">
        <f t="shared" si="3"/>
        <v>Профиль открытыйсо шлегелемРазмер заполнения ЛДСП   H, мм</v>
      </c>
      <c r="B41" s="59" t="s">
        <v>100</v>
      </c>
      <c r="C41" s="39" t="s">
        <v>32</v>
      </c>
      <c r="D41" s="60">
        <f>D29-58</f>
        <v>2402</v>
      </c>
      <c r="E41" s="61">
        <f>E29-58</f>
        <v>2402</v>
      </c>
      <c r="F41" s="61">
        <f>F29-58</f>
        <v>2402</v>
      </c>
      <c r="G41" s="61">
        <f>G29-58</f>
        <v>2402</v>
      </c>
      <c r="H41" s="62">
        <f>H29-58</f>
        <v>2402</v>
      </c>
    </row>
    <row r="42" spans="1:8" ht="15.75" x14ac:dyDescent="0.25">
      <c r="A42" s="23" t="str">
        <f t="shared" si="3"/>
        <v>Профиль открытыйсо шлегелемРазмер заполнения  зеркало/стекло  L, мм</v>
      </c>
      <c r="B42" s="63" t="s">
        <v>101</v>
      </c>
      <c r="C42" s="39" t="s">
        <v>33</v>
      </c>
      <c r="D42" s="60">
        <f>D30-38</f>
        <v>971</v>
      </c>
      <c r="E42" s="61">
        <f>E31-38</f>
        <v>643.33333333333337</v>
      </c>
      <c r="F42" s="61">
        <f>F32-38</f>
        <v>479.5</v>
      </c>
      <c r="G42" s="61">
        <f>G33-38</f>
        <v>473</v>
      </c>
      <c r="H42" s="62">
        <f>H34-38</f>
        <v>381.2</v>
      </c>
    </row>
    <row r="43" spans="1:8" ht="16.5" thickBot="1" x14ac:dyDescent="0.3">
      <c r="A43" s="23" t="str">
        <f t="shared" si="3"/>
        <v>Профиль открытыйсо шлегелемРазмер заполнения  зеркало/стекло  H, мм</v>
      </c>
      <c r="B43" s="64" t="s">
        <v>102</v>
      </c>
      <c r="C43" s="44" t="s">
        <v>34</v>
      </c>
      <c r="D43" s="65">
        <f>D29-60</f>
        <v>2400</v>
      </c>
      <c r="E43" s="66">
        <f>E29-60</f>
        <v>2400</v>
      </c>
      <c r="F43" s="66">
        <f>F29-60</f>
        <v>2400</v>
      </c>
      <c r="G43" s="66">
        <f>G29-60</f>
        <v>2400</v>
      </c>
      <c r="H43" s="67">
        <f>H29-60</f>
        <v>2400</v>
      </c>
    </row>
    <row r="44" spans="1:8" ht="15.75" thickBot="1" x14ac:dyDescent="0.3"/>
    <row r="45" spans="1:8" ht="15.75" thickBot="1" x14ac:dyDescent="0.3">
      <c r="B45" s="107" t="s">
        <v>9</v>
      </c>
      <c r="C45" s="116" t="s">
        <v>153</v>
      </c>
      <c r="D45" s="117"/>
      <c r="E45" s="117"/>
      <c r="F45" s="117"/>
      <c r="G45" s="117"/>
      <c r="H45" s="118"/>
    </row>
    <row r="46" spans="1:8" x14ac:dyDescent="0.25">
      <c r="B46" s="108"/>
      <c r="C46" s="111" t="s">
        <v>10</v>
      </c>
      <c r="D46" s="111"/>
      <c r="E46" s="111"/>
      <c r="F46" s="111"/>
      <c r="G46" s="111"/>
      <c r="H46" s="112"/>
    </row>
    <row r="47" spans="1:8" ht="15.75" thickBot="1" x14ac:dyDescent="0.3">
      <c r="B47" s="108"/>
      <c r="C47" s="30" t="s">
        <v>12</v>
      </c>
      <c r="D47" s="31" t="s">
        <v>13</v>
      </c>
      <c r="E47" s="31" t="s">
        <v>14</v>
      </c>
      <c r="F47" s="31" t="s">
        <v>50</v>
      </c>
      <c r="G47" s="31" t="s">
        <v>51</v>
      </c>
      <c r="H47" s="32" t="s">
        <v>16</v>
      </c>
    </row>
    <row r="48" spans="1:8" ht="18.75" x14ac:dyDescent="0.3">
      <c r="A48" s="23" t="str">
        <f>CONCATENATE($C$45,$C$46,B48)</f>
        <v>Закрытый профильбез шлегеляВысота двери</v>
      </c>
      <c r="B48" s="33" t="s">
        <v>17</v>
      </c>
      <c r="C48" s="34" t="s">
        <v>18</v>
      </c>
      <c r="D48" s="35">
        <f>$B$3-40</f>
        <v>2460</v>
      </c>
      <c r="E48" s="36">
        <f>$B$3-40</f>
        <v>2460</v>
      </c>
      <c r="F48" s="36">
        <f>$B$3-40</f>
        <v>2460</v>
      </c>
      <c r="G48" s="36">
        <f>$B$3-40</f>
        <v>2460</v>
      </c>
      <c r="H48" s="37">
        <f>$B$3-40</f>
        <v>2460</v>
      </c>
    </row>
    <row r="49" spans="1:8" ht="18.75" x14ac:dyDescent="0.3">
      <c r="A49" s="23" t="str">
        <f t="shared" ref="A49:A62" si="5">CONCATENATE($C$45,$C$46,B49)</f>
        <v>Закрытый профильбез шлегеляШирина двери (2 двери)                                           I-----____I</v>
      </c>
      <c r="B49" s="38" t="s">
        <v>112</v>
      </c>
      <c r="C49" s="39" t="s">
        <v>35</v>
      </c>
      <c r="D49" s="40">
        <f>($B$5+32)/2</f>
        <v>1016</v>
      </c>
      <c r="E49" s="41"/>
      <c r="F49" s="41"/>
      <c r="G49" s="41"/>
      <c r="H49" s="42"/>
    </row>
    <row r="50" spans="1:8" ht="18.75" x14ac:dyDescent="0.3">
      <c r="A50" s="23" t="str">
        <f t="shared" si="5"/>
        <v>Закрытый профильбез шлегеляШирина двери (3 двери)                                    I-----____-----I</v>
      </c>
      <c r="B50" s="38" t="s">
        <v>111</v>
      </c>
      <c r="C50" s="39" t="s">
        <v>37</v>
      </c>
      <c r="D50" s="40"/>
      <c r="E50" s="41">
        <f>($B$5+32*2)/3</f>
        <v>688</v>
      </c>
      <c r="F50" s="41"/>
      <c r="G50" s="41"/>
      <c r="H50" s="42"/>
    </row>
    <row r="51" spans="1:8" ht="18.75" x14ac:dyDescent="0.3">
      <c r="A51" s="23" t="str">
        <f t="shared" si="5"/>
        <v>Закрытый профильбез шлегеляШирина двери (4 двери) 1 вариант     I----- ____ -----____I</v>
      </c>
      <c r="B51" s="38" t="s">
        <v>109</v>
      </c>
      <c r="C51" s="39" t="s">
        <v>39</v>
      </c>
      <c r="D51" s="40"/>
      <c r="E51" s="41"/>
      <c r="F51" s="41">
        <f>($B$5+32*3)/4</f>
        <v>524</v>
      </c>
      <c r="G51" s="41"/>
      <c r="H51" s="42"/>
    </row>
    <row r="52" spans="1:8" ht="18.75" x14ac:dyDescent="0.3">
      <c r="A52" s="23" t="str">
        <f t="shared" si="5"/>
        <v>Закрытый профильбез шлегеляШирина двери (4 двери) 2 вариант     I-----____  ____-----I</v>
      </c>
      <c r="B52" s="38" t="s">
        <v>108</v>
      </c>
      <c r="C52" s="39" t="s">
        <v>41</v>
      </c>
      <c r="D52" s="40"/>
      <c r="E52" s="41"/>
      <c r="F52" s="41"/>
      <c r="G52" s="41">
        <f>($B$5+32*2)/4</f>
        <v>516</v>
      </c>
      <c r="H52" s="42"/>
    </row>
    <row r="53" spans="1:8" ht="19.5" thickBot="1" x14ac:dyDescent="0.35">
      <c r="A53" s="23" t="str">
        <f t="shared" si="5"/>
        <v>Закрытый профильбез шлегеляШирина двери (5 дверей)                  I-----____-----____-----I</v>
      </c>
      <c r="B53" s="43" t="s">
        <v>110</v>
      </c>
      <c r="C53" s="44" t="s">
        <v>43</v>
      </c>
      <c r="D53" s="45"/>
      <c r="E53" s="46"/>
      <c r="F53" s="46"/>
      <c r="G53" s="46"/>
      <c r="H53" s="47">
        <f>($B$5+32*4)/5</f>
        <v>425.6</v>
      </c>
    </row>
    <row r="54" spans="1:8" ht="15.75" thickBot="1" x14ac:dyDescent="0.3">
      <c r="A54" s="23" t="str">
        <f t="shared" si="5"/>
        <v>Закрытый профильбез шлегеляРельс верхний, мм</v>
      </c>
      <c r="B54" s="48" t="s">
        <v>103</v>
      </c>
      <c r="C54" s="72" t="s">
        <v>115</v>
      </c>
      <c r="D54" s="49">
        <f>$B$5</f>
        <v>2000</v>
      </c>
      <c r="E54" s="49">
        <f t="shared" ref="E54:H55" si="6">$B$5</f>
        <v>2000</v>
      </c>
      <c r="F54" s="49">
        <f t="shared" si="6"/>
        <v>2000</v>
      </c>
      <c r="G54" s="49">
        <f t="shared" si="6"/>
        <v>2000</v>
      </c>
      <c r="H54" s="49">
        <f t="shared" si="6"/>
        <v>2000</v>
      </c>
    </row>
    <row r="55" spans="1:8" x14ac:dyDescent="0.25">
      <c r="A55" s="23" t="str">
        <f t="shared" si="5"/>
        <v>Закрытый профильбез шлегеляРельс нижний, мм</v>
      </c>
      <c r="B55" s="50" t="s">
        <v>104</v>
      </c>
      <c r="C55" s="72" t="s">
        <v>115</v>
      </c>
      <c r="D55" s="49">
        <f>$B$5</f>
        <v>2000</v>
      </c>
      <c r="E55" s="49">
        <f t="shared" si="6"/>
        <v>2000</v>
      </c>
      <c r="F55" s="49">
        <f t="shared" si="6"/>
        <v>2000</v>
      </c>
      <c r="G55" s="49">
        <f t="shared" si="6"/>
        <v>2000</v>
      </c>
      <c r="H55" s="49">
        <f t="shared" si="6"/>
        <v>2000</v>
      </c>
    </row>
    <row r="56" spans="1:8" x14ac:dyDescent="0.25">
      <c r="A56" s="23" t="str">
        <f t="shared" si="5"/>
        <v>Закрытый профильбез шлегеляГоризонт верхний, мм</v>
      </c>
      <c r="B56" s="50" t="s">
        <v>105</v>
      </c>
      <c r="C56" s="73" t="s">
        <v>131</v>
      </c>
      <c r="D56" s="51">
        <f>$D$49-63</f>
        <v>953</v>
      </c>
      <c r="E56" s="52">
        <f>E50-63</f>
        <v>625</v>
      </c>
      <c r="F56" s="52">
        <f>F51-63</f>
        <v>461</v>
      </c>
      <c r="G56" s="52">
        <f>G52-63</f>
        <v>453</v>
      </c>
      <c r="H56" s="53">
        <f>H53-63</f>
        <v>362.6</v>
      </c>
    </row>
    <row r="57" spans="1:8" x14ac:dyDescent="0.25">
      <c r="A57" s="23" t="str">
        <f t="shared" si="5"/>
        <v>Закрытый профильбез шлегеляГоризонт нижний, мм</v>
      </c>
      <c r="B57" s="50" t="s">
        <v>106</v>
      </c>
      <c r="C57" s="73" t="s">
        <v>30</v>
      </c>
      <c r="D57" s="51">
        <f t="shared" ref="D57:D58" si="7">$D$49-63</f>
        <v>953</v>
      </c>
      <c r="E57" s="52">
        <f>E50-63</f>
        <v>625</v>
      </c>
      <c r="F57" s="52">
        <f>F51-63</f>
        <v>461</v>
      </c>
      <c r="G57" s="52">
        <f>G52-63</f>
        <v>453</v>
      </c>
      <c r="H57" s="53">
        <f>H53-63</f>
        <v>362.6</v>
      </c>
    </row>
    <row r="58" spans="1:8" ht="15.75" thickBot="1" x14ac:dyDescent="0.3">
      <c r="A58" s="23" t="str">
        <f t="shared" si="5"/>
        <v>Закрытый профильбез шлегеляСоединительный профиль, мм</v>
      </c>
      <c r="B58" s="54" t="s">
        <v>107</v>
      </c>
      <c r="C58" s="74" t="s">
        <v>30</v>
      </c>
      <c r="D58" s="51">
        <f t="shared" si="7"/>
        <v>953</v>
      </c>
      <c r="E58" s="52">
        <f>E50-63</f>
        <v>625</v>
      </c>
      <c r="F58" s="52">
        <f>F51-63</f>
        <v>461</v>
      </c>
      <c r="G58" s="52">
        <f>G52-63</f>
        <v>453</v>
      </c>
      <c r="H58" s="53">
        <f>H53-63</f>
        <v>362.6</v>
      </c>
    </row>
    <row r="59" spans="1:8" ht="15.75" x14ac:dyDescent="0.25">
      <c r="A59" s="23" t="str">
        <f t="shared" si="5"/>
        <v>Закрытый профильбез шлегеляРазмер заполнения ЛДСП   L, мм</v>
      </c>
      <c r="B59" s="55" t="s">
        <v>99</v>
      </c>
      <c r="C59" s="72" t="s">
        <v>45</v>
      </c>
      <c r="D59" s="56">
        <f>$D$49-48</f>
        <v>968</v>
      </c>
      <c r="E59" s="57">
        <f>E50-48</f>
        <v>640</v>
      </c>
      <c r="F59" s="57">
        <f>F51-48</f>
        <v>476</v>
      </c>
      <c r="G59" s="57">
        <f>G52-48</f>
        <v>468</v>
      </c>
      <c r="H59" s="58">
        <f>H53-48</f>
        <v>377.6</v>
      </c>
    </row>
    <row r="60" spans="1:8" ht="15.75" x14ac:dyDescent="0.25">
      <c r="A60" s="23" t="str">
        <f t="shared" si="5"/>
        <v>Закрытый профильбез шлегеляРазмер заполнения ЛДСП   H, мм</v>
      </c>
      <c r="B60" s="59" t="s">
        <v>100</v>
      </c>
      <c r="C60" s="73" t="s">
        <v>32</v>
      </c>
      <c r="D60" s="60">
        <f>D48-58</f>
        <v>2402</v>
      </c>
      <c r="E60" s="61">
        <f>E48-58</f>
        <v>2402</v>
      </c>
      <c r="F60" s="61">
        <f>F48-58</f>
        <v>2402</v>
      </c>
      <c r="G60" s="61">
        <f>G48-58</f>
        <v>2402</v>
      </c>
      <c r="H60" s="62">
        <f>H48-58</f>
        <v>2402</v>
      </c>
    </row>
    <row r="61" spans="1:8" ht="15.75" x14ac:dyDescent="0.25">
      <c r="A61" s="23" t="str">
        <f t="shared" si="5"/>
        <v>Закрытый профильбез шлегеляРазмер заполнения  зеркало/стекло  L, мм</v>
      </c>
      <c r="B61" s="63" t="s">
        <v>101</v>
      </c>
      <c r="C61" s="73" t="s">
        <v>46</v>
      </c>
      <c r="D61" s="60">
        <f>$D$49-50</f>
        <v>966</v>
      </c>
      <c r="E61" s="61">
        <f>E50-50</f>
        <v>638</v>
      </c>
      <c r="F61" s="61">
        <f>F51-50</f>
        <v>474</v>
      </c>
      <c r="G61" s="61">
        <f>G52-50</f>
        <v>466</v>
      </c>
      <c r="H61" s="62">
        <f>H53-50</f>
        <v>375.6</v>
      </c>
    </row>
    <row r="62" spans="1:8" ht="16.5" thickBot="1" x14ac:dyDescent="0.3">
      <c r="A62" s="23" t="str">
        <f t="shared" si="5"/>
        <v>Закрытый профильбез шлегеляРазмер заполнения  зеркало/стекло  H, мм</v>
      </c>
      <c r="B62" s="64" t="s">
        <v>102</v>
      </c>
      <c r="C62" s="74" t="s">
        <v>34</v>
      </c>
      <c r="D62" s="65">
        <f>D48-60</f>
        <v>2400</v>
      </c>
      <c r="E62" s="66">
        <f>E48-60</f>
        <v>2400</v>
      </c>
      <c r="F62" s="66">
        <f>F48-60</f>
        <v>2400</v>
      </c>
      <c r="G62" s="66">
        <f>G48-60</f>
        <v>2400</v>
      </c>
      <c r="H62" s="67">
        <f>H48-60</f>
        <v>2400</v>
      </c>
    </row>
    <row r="63" spans="1:8" ht="15.75" thickBot="1" x14ac:dyDescent="0.3"/>
    <row r="64" spans="1:8" ht="15.75" thickBot="1" x14ac:dyDescent="0.3">
      <c r="B64" s="107" t="s">
        <v>9</v>
      </c>
      <c r="C64" s="116" t="s">
        <v>153</v>
      </c>
      <c r="D64" s="117"/>
      <c r="E64" s="117"/>
      <c r="F64" s="117"/>
      <c r="G64" s="117"/>
      <c r="H64" s="118"/>
    </row>
    <row r="65" spans="1:8" x14ac:dyDescent="0.25">
      <c r="B65" s="108"/>
      <c r="C65" s="110" t="s">
        <v>11</v>
      </c>
      <c r="D65" s="111"/>
      <c r="E65" s="111"/>
      <c r="F65" s="111"/>
      <c r="G65" s="111"/>
      <c r="H65" s="112"/>
    </row>
    <row r="66" spans="1:8" ht="15.75" thickBot="1" x14ac:dyDescent="0.3">
      <c r="B66" s="108"/>
      <c r="C66" s="75" t="s">
        <v>12</v>
      </c>
      <c r="D66" s="31" t="s">
        <v>13</v>
      </c>
      <c r="E66" s="31" t="s">
        <v>14</v>
      </c>
      <c r="F66" s="31" t="s">
        <v>50</v>
      </c>
      <c r="G66" s="31" t="s">
        <v>51</v>
      </c>
      <c r="H66" s="32" t="s">
        <v>16</v>
      </c>
    </row>
    <row r="67" spans="1:8" ht="18.75" x14ac:dyDescent="0.3">
      <c r="A67" s="23" t="str">
        <f>CONCATENATE($C$64,$C$65,B67)</f>
        <v>Закрытый профильсо шлегелемВысота двери</v>
      </c>
      <c r="B67" s="33" t="s">
        <v>17</v>
      </c>
      <c r="C67" s="72" t="s">
        <v>18</v>
      </c>
      <c r="D67" s="35">
        <f>$B$3-40</f>
        <v>2460</v>
      </c>
      <c r="E67" s="36">
        <f>$B$3-40</f>
        <v>2460</v>
      </c>
      <c r="F67" s="36">
        <f>$B$3-40</f>
        <v>2460</v>
      </c>
      <c r="G67" s="36">
        <f>$B$3-40</f>
        <v>2460</v>
      </c>
      <c r="H67" s="37">
        <f>$B$3-40</f>
        <v>2460</v>
      </c>
    </row>
    <row r="68" spans="1:8" ht="18.75" x14ac:dyDescent="0.3">
      <c r="A68" s="23" t="str">
        <f t="shared" ref="A68:A81" si="8">CONCATENATE($C$64,$C$65,B68)</f>
        <v>Закрытый профильсо шлегелемШирина двери (2 двери)                                           I-----____I</v>
      </c>
      <c r="B68" s="38" t="s">
        <v>112</v>
      </c>
      <c r="C68" s="73" t="s">
        <v>36</v>
      </c>
      <c r="D68" s="40">
        <f>($B$5+32-8)/2</f>
        <v>1012</v>
      </c>
      <c r="E68" s="41"/>
      <c r="F68" s="41"/>
      <c r="G68" s="41"/>
      <c r="H68" s="42"/>
    </row>
    <row r="69" spans="1:8" ht="18.75" x14ac:dyDescent="0.3">
      <c r="A69" s="23" t="str">
        <f t="shared" si="8"/>
        <v>Закрытый профильсо шлегелемШирина двери (3 двери)                                    I-----____-----I</v>
      </c>
      <c r="B69" s="38" t="s">
        <v>111</v>
      </c>
      <c r="C69" s="73" t="s">
        <v>38</v>
      </c>
      <c r="D69" s="40"/>
      <c r="E69" s="41">
        <f>($B$5+32*2-8)/3</f>
        <v>685.33333333333337</v>
      </c>
      <c r="F69" s="41"/>
      <c r="G69" s="41"/>
      <c r="H69" s="42"/>
    </row>
    <row r="70" spans="1:8" ht="18.75" x14ac:dyDescent="0.3">
      <c r="A70" s="23" t="str">
        <f t="shared" si="8"/>
        <v>Закрытый профильсо шлегелемШирина двери (4 двери) 1 вариант     I----- ____ -----____I</v>
      </c>
      <c r="B70" s="38" t="s">
        <v>109</v>
      </c>
      <c r="C70" s="73" t="s">
        <v>40</v>
      </c>
      <c r="D70" s="40"/>
      <c r="E70" s="41"/>
      <c r="F70" s="41">
        <f>($B$5+32*3-8)/4</f>
        <v>522</v>
      </c>
      <c r="G70" s="41"/>
      <c r="H70" s="42"/>
    </row>
    <row r="71" spans="1:8" ht="18.75" x14ac:dyDescent="0.3">
      <c r="A71" s="23" t="str">
        <f t="shared" si="8"/>
        <v>Закрытый профильсо шлегелемШирина двери (4 двери) 2 вариант     I-----____  ____-----I</v>
      </c>
      <c r="B71" s="38" t="s">
        <v>108</v>
      </c>
      <c r="C71" s="73" t="s">
        <v>42</v>
      </c>
      <c r="D71" s="40"/>
      <c r="E71" s="41"/>
      <c r="F71" s="41"/>
      <c r="G71" s="41">
        <f>($B$5+32*2-8)/4</f>
        <v>514</v>
      </c>
      <c r="H71" s="42"/>
    </row>
    <row r="72" spans="1:8" ht="19.5" thickBot="1" x14ac:dyDescent="0.35">
      <c r="A72" s="23" t="str">
        <f t="shared" si="8"/>
        <v>Закрытый профильсо шлегелемШирина двери (5 дверей)                  I-----____-----____-----I</v>
      </c>
      <c r="B72" s="43" t="s">
        <v>110</v>
      </c>
      <c r="C72" s="74" t="s">
        <v>44</v>
      </c>
      <c r="D72" s="45"/>
      <c r="E72" s="46"/>
      <c r="F72" s="46"/>
      <c r="G72" s="46"/>
      <c r="H72" s="47">
        <f>($B$5+32*4-8)/5</f>
        <v>424</v>
      </c>
    </row>
    <row r="73" spans="1:8" ht="15.75" thickBot="1" x14ac:dyDescent="0.3">
      <c r="A73" s="23" t="str">
        <f t="shared" si="8"/>
        <v>Закрытый профильсо шлегелемРельс верхний, мм</v>
      </c>
      <c r="B73" s="48" t="s">
        <v>103</v>
      </c>
      <c r="C73" s="34" t="s">
        <v>115</v>
      </c>
      <c r="D73" s="49">
        <f t="shared" ref="D73:H74" si="9">$B$5</f>
        <v>2000</v>
      </c>
      <c r="E73" s="49">
        <f t="shared" si="9"/>
        <v>2000</v>
      </c>
      <c r="F73" s="49">
        <f t="shared" si="9"/>
        <v>2000</v>
      </c>
      <c r="G73" s="49">
        <f t="shared" si="9"/>
        <v>2000</v>
      </c>
      <c r="H73" s="49">
        <f t="shared" si="9"/>
        <v>2000</v>
      </c>
    </row>
    <row r="74" spans="1:8" x14ac:dyDescent="0.25">
      <c r="A74" s="23" t="str">
        <f t="shared" si="8"/>
        <v>Закрытый профильсо шлегелемРельс нижний, мм</v>
      </c>
      <c r="B74" s="50" t="s">
        <v>104</v>
      </c>
      <c r="C74" s="34" t="s">
        <v>115</v>
      </c>
      <c r="D74" s="49">
        <f t="shared" si="9"/>
        <v>2000</v>
      </c>
      <c r="E74" s="49">
        <f t="shared" si="9"/>
        <v>2000</v>
      </c>
      <c r="F74" s="49">
        <f t="shared" si="9"/>
        <v>2000</v>
      </c>
      <c r="G74" s="49">
        <f t="shared" si="9"/>
        <v>2000</v>
      </c>
      <c r="H74" s="49">
        <f t="shared" si="9"/>
        <v>2000</v>
      </c>
    </row>
    <row r="75" spans="1:8" x14ac:dyDescent="0.25">
      <c r="A75" s="23" t="str">
        <f t="shared" si="8"/>
        <v>Закрытый профильсо шлегелемГоризонт верхний, мм</v>
      </c>
      <c r="B75" s="50" t="s">
        <v>105</v>
      </c>
      <c r="C75" s="39" t="s">
        <v>131</v>
      </c>
      <c r="D75" s="51">
        <f>D68-63</f>
        <v>949</v>
      </c>
      <c r="E75" s="52">
        <f>E69-63</f>
        <v>622.33333333333337</v>
      </c>
      <c r="F75" s="52">
        <f>F70-63</f>
        <v>459</v>
      </c>
      <c r="G75" s="52">
        <f>G71-63</f>
        <v>451</v>
      </c>
      <c r="H75" s="53">
        <f>H72-63</f>
        <v>361</v>
      </c>
    </row>
    <row r="76" spans="1:8" x14ac:dyDescent="0.25">
      <c r="A76" s="23" t="str">
        <f t="shared" si="8"/>
        <v>Закрытый профильсо шлегелемГоризонт нижний, мм</v>
      </c>
      <c r="B76" s="50" t="s">
        <v>106</v>
      </c>
      <c r="C76" s="39" t="s">
        <v>131</v>
      </c>
      <c r="D76" s="51">
        <f>D68-63</f>
        <v>949</v>
      </c>
      <c r="E76" s="52">
        <f>E69-63</f>
        <v>622.33333333333337</v>
      </c>
      <c r="F76" s="52">
        <f>F70-63</f>
        <v>459</v>
      </c>
      <c r="G76" s="52">
        <f>G71-63</f>
        <v>451</v>
      </c>
      <c r="H76" s="53">
        <f>H72-63</f>
        <v>361</v>
      </c>
    </row>
    <row r="77" spans="1:8" ht="15.75" thickBot="1" x14ac:dyDescent="0.3">
      <c r="A77" s="23" t="str">
        <f t="shared" si="8"/>
        <v>Закрытый профильсо шлегелемСоединительный профиль, мм</v>
      </c>
      <c r="B77" s="54" t="s">
        <v>107</v>
      </c>
      <c r="C77" s="39" t="s">
        <v>131</v>
      </c>
      <c r="D77" s="51">
        <f>D68-63</f>
        <v>949</v>
      </c>
      <c r="E77" s="52">
        <f>E69-63</f>
        <v>622.33333333333337</v>
      </c>
      <c r="F77" s="52">
        <f>F70-63</f>
        <v>459</v>
      </c>
      <c r="G77" s="52">
        <f>G71-63</f>
        <v>451</v>
      </c>
      <c r="H77" s="53">
        <f>H72-63</f>
        <v>361</v>
      </c>
    </row>
    <row r="78" spans="1:8" ht="15.75" x14ac:dyDescent="0.25">
      <c r="A78" s="23" t="str">
        <f t="shared" si="8"/>
        <v>Закрытый профильсо шлегелемРазмер заполнения ЛДСП   L, мм</v>
      </c>
      <c r="B78" s="55" t="s">
        <v>99</v>
      </c>
      <c r="C78" s="72" t="s">
        <v>45</v>
      </c>
      <c r="D78" s="69">
        <f>D68-48</f>
        <v>964</v>
      </c>
      <c r="E78" s="70">
        <f>E69-48</f>
        <v>637.33333333333337</v>
      </c>
      <c r="F78" s="70">
        <f>F70-48</f>
        <v>474</v>
      </c>
      <c r="G78" s="70">
        <f>G71-48</f>
        <v>466</v>
      </c>
      <c r="H78" s="71">
        <f>H72-48</f>
        <v>376</v>
      </c>
    </row>
    <row r="79" spans="1:8" ht="15.75" x14ac:dyDescent="0.25">
      <c r="A79" s="23" t="str">
        <f t="shared" si="8"/>
        <v>Закрытый профильсо шлегелемРазмер заполнения ЛДСП   H, мм</v>
      </c>
      <c r="B79" s="59" t="s">
        <v>100</v>
      </c>
      <c r="C79" s="73" t="s">
        <v>32</v>
      </c>
      <c r="D79" s="60">
        <f>D67-58</f>
        <v>2402</v>
      </c>
      <c r="E79" s="61">
        <f>E67-58</f>
        <v>2402</v>
      </c>
      <c r="F79" s="61">
        <f>F67-58</f>
        <v>2402</v>
      </c>
      <c r="G79" s="61">
        <f>G67-58</f>
        <v>2402</v>
      </c>
      <c r="H79" s="62">
        <f>H67-58</f>
        <v>2402</v>
      </c>
    </row>
    <row r="80" spans="1:8" ht="15.75" x14ac:dyDescent="0.25">
      <c r="A80" s="23" t="str">
        <f t="shared" si="8"/>
        <v>Закрытый профильсо шлегелемРазмер заполнения  зеркало/стекло  L, мм</v>
      </c>
      <c r="B80" s="63" t="s">
        <v>101</v>
      </c>
      <c r="C80" s="73" t="s">
        <v>46</v>
      </c>
      <c r="D80" s="60">
        <f>D68-50</f>
        <v>962</v>
      </c>
      <c r="E80" s="61">
        <f>E69-50</f>
        <v>635.33333333333337</v>
      </c>
      <c r="F80" s="61">
        <f>F70-50</f>
        <v>472</v>
      </c>
      <c r="G80" s="61">
        <f>G71-50</f>
        <v>464</v>
      </c>
      <c r="H80" s="62">
        <f>H72-50</f>
        <v>374</v>
      </c>
    </row>
    <row r="81" spans="1:8" ht="16.5" thickBot="1" x14ac:dyDescent="0.3">
      <c r="A81" s="23" t="str">
        <f t="shared" si="8"/>
        <v>Закрытый профильсо шлегелемРазмер заполнения  зеркало/стекло  H, мм</v>
      </c>
      <c r="B81" s="64" t="s">
        <v>102</v>
      </c>
      <c r="C81" s="74" t="s">
        <v>34</v>
      </c>
      <c r="D81" s="65">
        <f>D67-60</f>
        <v>2400</v>
      </c>
      <c r="E81" s="66">
        <f>E67-60</f>
        <v>2400</v>
      </c>
      <c r="F81" s="66">
        <f>F67-60</f>
        <v>2400</v>
      </c>
      <c r="G81" s="66">
        <f>G67-60</f>
        <v>2400</v>
      </c>
      <c r="H81" s="67">
        <f>H67-60</f>
        <v>2400</v>
      </c>
    </row>
    <row r="82" spans="1:8" ht="15.75" thickBot="1" x14ac:dyDescent="0.3"/>
    <row r="83" spans="1:8" ht="15.75" thickBot="1" x14ac:dyDescent="0.3">
      <c r="B83" s="107" t="s">
        <v>9</v>
      </c>
      <c r="C83" s="116" t="s">
        <v>94</v>
      </c>
      <c r="D83" s="117"/>
      <c r="E83" s="117"/>
      <c r="F83" s="117"/>
      <c r="G83" s="117"/>
      <c r="H83" s="118"/>
    </row>
    <row r="84" spans="1:8" x14ac:dyDescent="0.25">
      <c r="B84" s="108"/>
      <c r="C84" s="111" t="s">
        <v>10</v>
      </c>
      <c r="D84" s="111"/>
      <c r="E84" s="111"/>
      <c r="F84" s="111"/>
      <c r="G84" s="111"/>
      <c r="H84" s="112"/>
    </row>
    <row r="85" spans="1:8" ht="15.75" thickBot="1" x14ac:dyDescent="0.3">
      <c r="B85" s="108"/>
      <c r="C85" s="30" t="s">
        <v>12</v>
      </c>
      <c r="D85" s="31" t="s">
        <v>13</v>
      </c>
      <c r="E85" s="31" t="s">
        <v>14</v>
      </c>
      <c r="F85" s="31" t="s">
        <v>50</v>
      </c>
      <c r="G85" s="31" t="s">
        <v>51</v>
      </c>
      <c r="H85" s="32" t="s">
        <v>16</v>
      </c>
    </row>
    <row r="86" spans="1:8" ht="18.75" x14ac:dyDescent="0.3">
      <c r="A86" s="23" t="str">
        <f>CONCATENATE($C$83,$C$84,B86)</f>
        <v>Quattroбез шлегеляВысота двери</v>
      </c>
      <c r="B86" s="33" t="s">
        <v>17</v>
      </c>
      <c r="C86" s="72" t="s">
        <v>18</v>
      </c>
      <c r="D86" s="35">
        <f>$B$3-40</f>
        <v>2460</v>
      </c>
      <c r="E86" s="36">
        <f>$B$3-40</f>
        <v>2460</v>
      </c>
      <c r="F86" s="36">
        <f>$B$3-40</f>
        <v>2460</v>
      </c>
      <c r="G86" s="36">
        <f>$B$3-40</f>
        <v>2460</v>
      </c>
      <c r="H86" s="37">
        <f>$B$3-40</f>
        <v>2460</v>
      </c>
    </row>
    <row r="87" spans="1:8" ht="18.75" x14ac:dyDescent="0.3">
      <c r="A87" s="23" t="str">
        <f t="shared" ref="A87:A100" si="10">CONCATENATE($C$83,$C$84,B87)</f>
        <v>Quattroбез шлегеляШирина двери (2 двери)                                           I-----____I</v>
      </c>
      <c r="B87" s="38" t="s">
        <v>112</v>
      </c>
      <c r="C87" s="73" t="s">
        <v>52</v>
      </c>
      <c r="D87" s="40">
        <f>($B$5+40)/2</f>
        <v>1020</v>
      </c>
      <c r="E87" s="41"/>
      <c r="F87" s="41"/>
      <c r="G87" s="41"/>
      <c r="H87" s="42"/>
    </row>
    <row r="88" spans="1:8" ht="18.75" x14ac:dyDescent="0.3">
      <c r="A88" s="23" t="str">
        <f t="shared" si="10"/>
        <v>Quattroбез шлегеляШирина двери (3 двери)                                    I-----____-----I</v>
      </c>
      <c r="B88" s="38" t="s">
        <v>111</v>
      </c>
      <c r="C88" s="73" t="s">
        <v>53</v>
      </c>
      <c r="D88" s="40"/>
      <c r="E88" s="41">
        <f>($B$5+40*2)/3</f>
        <v>693.33333333333337</v>
      </c>
      <c r="F88" s="41"/>
      <c r="G88" s="41"/>
      <c r="H88" s="42"/>
    </row>
    <row r="89" spans="1:8" ht="18.75" x14ac:dyDescent="0.3">
      <c r="A89" s="23" t="str">
        <f t="shared" si="10"/>
        <v>Quattroбез шлегеляШирина двери (4 двери) 1 вариант     I----- ____ -----____I</v>
      </c>
      <c r="B89" s="38" t="s">
        <v>109</v>
      </c>
      <c r="C89" s="73" t="s">
        <v>54</v>
      </c>
      <c r="D89" s="40"/>
      <c r="E89" s="41"/>
      <c r="F89" s="41">
        <f>($B$5+40*3)/4</f>
        <v>530</v>
      </c>
      <c r="G89" s="41"/>
      <c r="H89" s="42"/>
    </row>
    <row r="90" spans="1:8" ht="18.75" x14ac:dyDescent="0.3">
      <c r="A90" s="23" t="str">
        <f t="shared" si="10"/>
        <v>Quattroбез шлегеляШирина двери (4 двери) 2 вариант     I-----____  ____-----I</v>
      </c>
      <c r="B90" s="38" t="s">
        <v>108</v>
      </c>
      <c r="C90" s="73" t="s">
        <v>55</v>
      </c>
      <c r="D90" s="40"/>
      <c r="E90" s="41"/>
      <c r="F90" s="41"/>
      <c r="G90" s="41">
        <f>($B$5+40*2)/4</f>
        <v>520</v>
      </c>
      <c r="H90" s="42"/>
    </row>
    <row r="91" spans="1:8" ht="19.5" thickBot="1" x14ac:dyDescent="0.35">
      <c r="A91" s="23" t="str">
        <f t="shared" si="10"/>
        <v>Quattroбез шлегеляШирина двери (5 дверей)                  I-----____-----____-----I</v>
      </c>
      <c r="B91" s="43" t="s">
        <v>110</v>
      </c>
      <c r="C91" s="74" t="s">
        <v>56</v>
      </c>
      <c r="D91" s="45"/>
      <c r="E91" s="46"/>
      <c r="F91" s="46"/>
      <c r="G91" s="46"/>
      <c r="H91" s="47">
        <f>($B$5+40*4)/5</f>
        <v>432</v>
      </c>
    </row>
    <row r="92" spans="1:8" ht="15.75" thickBot="1" x14ac:dyDescent="0.3">
      <c r="A92" s="23" t="str">
        <f t="shared" si="10"/>
        <v>Quattroбез шлегеляРельс верхний, мм</v>
      </c>
      <c r="B92" s="48" t="s">
        <v>103</v>
      </c>
      <c r="C92" s="72" t="s">
        <v>115</v>
      </c>
      <c r="D92" s="49">
        <f>$B$5</f>
        <v>2000</v>
      </c>
      <c r="E92" s="49">
        <f t="shared" ref="E92:H93" si="11">$B$5</f>
        <v>2000</v>
      </c>
      <c r="F92" s="49">
        <f t="shared" si="11"/>
        <v>2000</v>
      </c>
      <c r="G92" s="49">
        <f t="shared" si="11"/>
        <v>2000</v>
      </c>
      <c r="H92" s="49">
        <f t="shared" si="11"/>
        <v>2000</v>
      </c>
    </row>
    <row r="93" spans="1:8" x14ac:dyDescent="0.25">
      <c r="A93" s="23" t="str">
        <f t="shared" si="10"/>
        <v>Quattroбез шлегеляРельс нижний, мм</v>
      </c>
      <c r="B93" s="50" t="s">
        <v>104</v>
      </c>
      <c r="C93" s="72" t="s">
        <v>115</v>
      </c>
      <c r="D93" s="49">
        <f>$B$5</f>
        <v>2000</v>
      </c>
      <c r="E93" s="49">
        <f t="shared" si="11"/>
        <v>2000</v>
      </c>
      <c r="F93" s="49">
        <f t="shared" si="11"/>
        <v>2000</v>
      </c>
      <c r="G93" s="49">
        <f t="shared" si="11"/>
        <v>2000</v>
      </c>
      <c r="H93" s="49">
        <f t="shared" si="11"/>
        <v>2000</v>
      </c>
    </row>
    <row r="94" spans="1:8" x14ac:dyDescent="0.25">
      <c r="A94" s="23" t="str">
        <f t="shared" si="10"/>
        <v>Quattroбез шлегеляГоризонт верхний, мм</v>
      </c>
      <c r="B94" s="50" t="s">
        <v>105</v>
      </c>
      <c r="C94" s="73" t="s">
        <v>57</v>
      </c>
      <c r="D94" s="51">
        <f>D87-76</f>
        <v>944</v>
      </c>
      <c r="E94" s="52">
        <f>E88-76</f>
        <v>617.33333333333337</v>
      </c>
      <c r="F94" s="52">
        <f>F89-76</f>
        <v>454</v>
      </c>
      <c r="G94" s="52">
        <f>G90-76</f>
        <v>444</v>
      </c>
      <c r="H94" s="53">
        <f>H91-76</f>
        <v>356</v>
      </c>
    </row>
    <row r="95" spans="1:8" x14ac:dyDescent="0.25">
      <c r="A95" s="23" t="str">
        <f t="shared" si="10"/>
        <v>Quattroбез шлегеляГоризонт нижний, мм</v>
      </c>
      <c r="B95" s="50" t="s">
        <v>106</v>
      </c>
      <c r="C95" s="73" t="s">
        <v>57</v>
      </c>
      <c r="D95" s="51">
        <f>D87-76</f>
        <v>944</v>
      </c>
      <c r="E95" s="52">
        <f>E88-76</f>
        <v>617.33333333333337</v>
      </c>
      <c r="F95" s="52">
        <f>F89-76</f>
        <v>454</v>
      </c>
      <c r="G95" s="52">
        <f>G90-76</f>
        <v>444</v>
      </c>
      <c r="H95" s="53">
        <f>H91-76</f>
        <v>356</v>
      </c>
    </row>
    <row r="96" spans="1:8" ht="15.75" thickBot="1" x14ac:dyDescent="0.3">
      <c r="A96" s="23" t="str">
        <f t="shared" si="10"/>
        <v>Quattroбез шлегеляСоединительный профиль, мм</v>
      </c>
      <c r="B96" s="54" t="s">
        <v>107</v>
      </c>
      <c r="C96" s="73" t="s">
        <v>57</v>
      </c>
      <c r="D96" s="51">
        <f>D87-76</f>
        <v>944</v>
      </c>
      <c r="E96" s="52">
        <f>E88-76</f>
        <v>617.33333333333337</v>
      </c>
      <c r="F96" s="52">
        <f>F89-76</f>
        <v>454</v>
      </c>
      <c r="G96" s="52">
        <f>G90-76</f>
        <v>444</v>
      </c>
      <c r="H96" s="53">
        <f>H93-76</f>
        <v>1924</v>
      </c>
    </row>
    <row r="97" spans="1:8" ht="15.75" x14ac:dyDescent="0.25">
      <c r="A97" s="23" t="str">
        <f t="shared" si="10"/>
        <v>Quattroбез шлегеляРазмер заполнения ЛДСП   L, мм</v>
      </c>
      <c r="B97" s="55" t="s">
        <v>99</v>
      </c>
      <c r="C97" s="72" t="s">
        <v>132</v>
      </c>
      <c r="D97" s="56">
        <f>D87-61</f>
        <v>959</v>
      </c>
      <c r="E97" s="57">
        <f>E88-61</f>
        <v>632.33333333333337</v>
      </c>
      <c r="F97" s="57">
        <f>F89-61</f>
        <v>469</v>
      </c>
      <c r="G97" s="57">
        <f>G90-61</f>
        <v>459</v>
      </c>
      <c r="H97" s="58">
        <f>H91-61</f>
        <v>371</v>
      </c>
    </row>
    <row r="98" spans="1:8" ht="15.75" x14ac:dyDescent="0.25">
      <c r="A98" s="23" t="str">
        <f t="shared" si="10"/>
        <v>Quattroбез шлегеляРазмер заполнения ЛДСП   H, мм</v>
      </c>
      <c r="B98" s="59" t="s">
        <v>100</v>
      </c>
      <c r="C98" s="73" t="s">
        <v>32</v>
      </c>
      <c r="D98" s="60">
        <f>D86-58</f>
        <v>2402</v>
      </c>
      <c r="E98" s="60">
        <f t="shared" ref="E98:H98" si="12">E86-58</f>
        <v>2402</v>
      </c>
      <c r="F98" s="60">
        <f t="shared" si="12"/>
        <v>2402</v>
      </c>
      <c r="G98" s="60">
        <f t="shared" si="12"/>
        <v>2402</v>
      </c>
      <c r="H98" s="60">
        <f t="shared" si="12"/>
        <v>2402</v>
      </c>
    </row>
    <row r="99" spans="1:8" ht="15.75" x14ac:dyDescent="0.25">
      <c r="A99" s="23" t="str">
        <f t="shared" si="10"/>
        <v>Quattroбез шлегеляРазмер заполнения  зеркало/стекло  L, мм</v>
      </c>
      <c r="B99" s="63" t="s">
        <v>101</v>
      </c>
      <c r="C99" s="73" t="s">
        <v>133</v>
      </c>
      <c r="D99" s="60">
        <f>D87-63</f>
        <v>957</v>
      </c>
      <c r="E99" s="61">
        <f>E88-63</f>
        <v>630.33333333333337</v>
      </c>
      <c r="F99" s="61">
        <f>F89-63</f>
        <v>467</v>
      </c>
      <c r="G99" s="61">
        <f>G90-63</f>
        <v>457</v>
      </c>
      <c r="H99" s="62">
        <f>H91-63</f>
        <v>369</v>
      </c>
    </row>
    <row r="100" spans="1:8" ht="16.5" thickBot="1" x14ac:dyDescent="0.3">
      <c r="A100" s="23" t="str">
        <f t="shared" si="10"/>
        <v>Quattroбез шлегеляРазмер заполнения  зеркало/стекло  H, мм</v>
      </c>
      <c r="B100" s="64" t="s">
        <v>102</v>
      </c>
      <c r="C100" s="74" t="s">
        <v>34</v>
      </c>
      <c r="D100" s="65">
        <f>D86-60</f>
        <v>2400</v>
      </c>
      <c r="E100" s="65">
        <f t="shared" ref="E100:H100" si="13">E86-60</f>
        <v>2400</v>
      </c>
      <c r="F100" s="65">
        <f t="shared" si="13"/>
        <v>2400</v>
      </c>
      <c r="G100" s="65">
        <f t="shared" si="13"/>
        <v>2400</v>
      </c>
      <c r="H100" s="65">
        <f t="shared" si="13"/>
        <v>2400</v>
      </c>
    </row>
    <row r="101" spans="1:8" ht="15.75" thickBot="1" x14ac:dyDescent="0.3"/>
    <row r="102" spans="1:8" ht="15.75" thickBot="1" x14ac:dyDescent="0.3">
      <c r="B102" s="107" t="s">
        <v>9</v>
      </c>
      <c r="C102" s="116" t="s">
        <v>94</v>
      </c>
      <c r="D102" s="117"/>
      <c r="E102" s="117"/>
      <c r="F102" s="117"/>
      <c r="G102" s="117"/>
      <c r="H102" s="118"/>
    </row>
    <row r="103" spans="1:8" x14ac:dyDescent="0.25">
      <c r="B103" s="108"/>
      <c r="C103" s="110" t="s">
        <v>11</v>
      </c>
      <c r="D103" s="111"/>
      <c r="E103" s="111"/>
      <c r="F103" s="111"/>
      <c r="G103" s="111"/>
      <c r="H103" s="112"/>
    </row>
    <row r="104" spans="1:8" ht="15.75" thickBot="1" x14ac:dyDescent="0.3">
      <c r="B104" s="108"/>
      <c r="C104" s="75" t="s">
        <v>12</v>
      </c>
      <c r="D104" s="31" t="s">
        <v>13</v>
      </c>
      <c r="E104" s="31" t="s">
        <v>14</v>
      </c>
      <c r="F104" s="31" t="s">
        <v>50</v>
      </c>
      <c r="G104" s="31" t="s">
        <v>51</v>
      </c>
      <c r="H104" s="32" t="s">
        <v>16</v>
      </c>
    </row>
    <row r="105" spans="1:8" ht="18.75" x14ac:dyDescent="0.3">
      <c r="A105" s="23" t="str">
        <f>CONCATENATE($C$102,$C$103,B105)</f>
        <v>Quattroсо шлегелемВысота двери</v>
      </c>
      <c r="B105" s="33" t="s">
        <v>17</v>
      </c>
      <c r="C105" s="34" t="s">
        <v>18</v>
      </c>
      <c r="D105" s="35">
        <f>$B$3-40</f>
        <v>2460</v>
      </c>
      <c r="E105" s="36">
        <f>$B$3-40</f>
        <v>2460</v>
      </c>
      <c r="F105" s="36">
        <f>$B$3-40</f>
        <v>2460</v>
      </c>
      <c r="G105" s="36">
        <f>$B$3-40</f>
        <v>2460</v>
      </c>
      <c r="H105" s="37">
        <f>$B$3-40</f>
        <v>2460</v>
      </c>
    </row>
    <row r="106" spans="1:8" ht="18.75" x14ac:dyDescent="0.3">
      <c r="A106" s="23" t="str">
        <f t="shared" ref="A106:A119" si="14">CONCATENATE($C$102,$C$103,B106)</f>
        <v>Quattroсо шлегелемШирина двери (2 двери)                                           I-----____I</v>
      </c>
      <c r="B106" s="38" t="s">
        <v>112</v>
      </c>
      <c r="C106" s="39" t="s">
        <v>58</v>
      </c>
      <c r="D106" s="40">
        <f>($B$5+40-8)/2</f>
        <v>1016</v>
      </c>
      <c r="E106" s="41"/>
      <c r="F106" s="41"/>
      <c r="G106" s="41"/>
      <c r="H106" s="42"/>
    </row>
    <row r="107" spans="1:8" ht="18.75" x14ac:dyDescent="0.3">
      <c r="A107" s="23" t="str">
        <f t="shared" si="14"/>
        <v>Quattroсо шлегелемШирина двери (3 двери)                                    I-----____-----I</v>
      </c>
      <c r="B107" s="38" t="s">
        <v>111</v>
      </c>
      <c r="C107" s="39" t="s">
        <v>59</v>
      </c>
      <c r="D107" s="40"/>
      <c r="E107" s="41">
        <f>($B$5+40*2-8)/3</f>
        <v>690.66666666666663</v>
      </c>
      <c r="F107" s="41"/>
      <c r="G107" s="41"/>
      <c r="H107" s="42"/>
    </row>
    <row r="108" spans="1:8" ht="18.75" x14ac:dyDescent="0.3">
      <c r="A108" s="23" t="str">
        <f t="shared" si="14"/>
        <v>Quattroсо шлегелемШирина двери (4 двери) 1 вариант     I----- ____ -----____I</v>
      </c>
      <c r="B108" s="38" t="s">
        <v>109</v>
      </c>
      <c r="C108" s="39" t="s">
        <v>60</v>
      </c>
      <c r="D108" s="40"/>
      <c r="E108" s="41"/>
      <c r="F108" s="41">
        <f>($B$5+40*3-8)/4</f>
        <v>528</v>
      </c>
      <c r="G108" s="41"/>
      <c r="H108" s="42"/>
    </row>
    <row r="109" spans="1:8" ht="18.75" x14ac:dyDescent="0.3">
      <c r="A109" s="23" t="str">
        <f t="shared" si="14"/>
        <v>Quattroсо шлегелемШирина двери (4 двери) 2 вариант     I-----____  ____-----I</v>
      </c>
      <c r="B109" s="38" t="s">
        <v>108</v>
      </c>
      <c r="C109" s="39" t="s">
        <v>61</v>
      </c>
      <c r="D109" s="40"/>
      <c r="E109" s="41"/>
      <c r="F109" s="41"/>
      <c r="G109" s="41">
        <f>($B$5+40*2-8)/4</f>
        <v>518</v>
      </c>
      <c r="H109" s="42"/>
    </row>
    <row r="110" spans="1:8" ht="19.5" thickBot="1" x14ac:dyDescent="0.35">
      <c r="A110" s="23" t="str">
        <f t="shared" si="14"/>
        <v>Quattroсо шлегелемШирина двери (5 дверей)                  I-----____-----____-----I</v>
      </c>
      <c r="B110" s="43" t="s">
        <v>110</v>
      </c>
      <c r="C110" s="44" t="s">
        <v>62</v>
      </c>
      <c r="D110" s="45"/>
      <c r="E110" s="46"/>
      <c r="F110" s="46"/>
      <c r="G110" s="46"/>
      <c r="H110" s="47">
        <f>($B$5+40*4-8)/5</f>
        <v>430.4</v>
      </c>
    </row>
    <row r="111" spans="1:8" x14ac:dyDescent="0.25">
      <c r="A111" s="23" t="str">
        <f t="shared" si="14"/>
        <v>Quattroсо шлегелемРельс верхний, мм</v>
      </c>
      <c r="B111" s="48" t="s">
        <v>103</v>
      </c>
      <c r="C111" s="39" t="s">
        <v>115</v>
      </c>
      <c r="D111" s="49">
        <f>$B$5</f>
        <v>2000</v>
      </c>
      <c r="E111" s="49">
        <f t="shared" ref="E111:H112" si="15">$B$5</f>
        <v>2000</v>
      </c>
      <c r="F111" s="49">
        <f t="shared" si="15"/>
        <v>2000</v>
      </c>
      <c r="G111" s="49">
        <f t="shared" si="15"/>
        <v>2000</v>
      </c>
      <c r="H111" s="49">
        <f t="shared" si="15"/>
        <v>2000</v>
      </c>
    </row>
    <row r="112" spans="1:8" x14ac:dyDescent="0.25">
      <c r="A112" s="23" t="str">
        <f t="shared" si="14"/>
        <v>Quattroсо шлегелемРельс нижний, мм</v>
      </c>
      <c r="B112" s="50" t="s">
        <v>104</v>
      </c>
      <c r="C112" s="39" t="s">
        <v>115</v>
      </c>
      <c r="D112" s="49">
        <f>$B$5</f>
        <v>2000</v>
      </c>
      <c r="E112" s="49">
        <f t="shared" si="15"/>
        <v>2000</v>
      </c>
      <c r="F112" s="49">
        <f t="shared" si="15"/>
        <v>2000</v>
      </c>
      <c r="G112" s="49">
        <f t="shared" si="15"/>
        <v>2000</v>
      </c>
      <c r="H112" s="49">
        <f t="shared" si="15"/>
        <v>2000</v>
      </c>
    </row>
    <row r="113" spans="1:8" x14ac:dyDescent="0.25">
      <c r="A113" s="23" t="str">
        <f t="shared" si="14"/>
        <v>Quattroсо шлегелемГоризонт верхний, мм</v>
      </c>
      <c r="B113" s="50" t="s">
        <v>105</v>
      </c>
      <c r="C113" s="39" t="s">
        <v>57</v>
      </c>
      <c r="D113" s="51">
        <f>D106-76</f>
        <v>940</v>
      </c>
      <c r="E113" s="52">
        <f>E107-76</f>
        <v>614.66666666666663</v>
      </c>
      <c r="F113" s="52">
        <f>F108-76</f>
        <v>452</v>
      </c>
      <c r="G113" s="52">
        <f>G109-76</f>
        <v>442</v>
      </c>
      <c r="H113" s="53">
        <f>H110-76</f>
        <v>354.4</v>
      </c>
    </row>
    <row r="114" spans="1:8" x14ac:dyDescent="0.25">
      <c r="A114" s="23" t="str">
        <f t="shared" si="14"/>
        <v>Quattroсо шлегелемГоризонт нижний, мм</v>
      </c>
      <c r="B114" s="50" t="s">
        <v>106</v>
      </c>
      <c r="C114" s="39" t="s">
        <v>57</v>
      </c>
      <c r="D114" s="51">
        <f>D106-76</f>
        <v>940</v>
      </c>
      <c r="E114" s="52">
        <f>E107-76</f>
        <v>614.66666666666663</v>
      </c>
      <c r="F114" s="52">
        <f>F108-76</f>
        <v>452</v>
      </c>
      <c r="G114" s="52">
        <f>G109-76</f>
        <v>442</v>
      </c>
      <c r="H114" s="53">
        <f>H110-76</f>
        <v>354.4</v>
      </c>
    </row>
    <row r="115" spans="1:8" ht="15.75" thickBot="1" x14ac:dyDescent="0.3">
      <c r="A115" s="23" t="str">
        <f t="shared" si="14"/>
        <v>Quattroсо шлегелемСоединительный профиль, мм</v>
      </c>
      <c r="B115" s="54" t="s">
        <v>107</v>
      </c>
      <c r="C115" s="39" t="s">
        <v>57</v>
      </c>
      <c r="D115" s="51">
        <f>D106-76</f>
        <v>940</v>
      </c>
      <c r="E115" s="52">
        <f>E107-76</f>
        <v>614.66666666666663</v>
      </c>
      <c r="F115" s="52">
        <f>F108-76</f>
        <v>452</v>
      </c>
      <c r="G115" s="52">
        <f>G109-76</f>
        <v>442</v>
      </c>
      <c r="H115" s="53">
        <f>H110-76</f>
        <v>354.4</v>
      </c>
    </row>
    <row r="116" spans="1:8" ht="15.75" x14ac:dyDescent="0.25">
      <c r="A116" s="23" t="str">
        <f t="shared" si="14"/>
        <v>Quattroсо шлегелемРазмер заполнения ЛДСП   L, мм</v>
      </c>
      <c r="B116" s="55" t="s">
        <v>99</v>
      </c>
      <c r="C116" s="68" t="s">
        <v>132</v>
      </c>
      <c r="D116" s="56">
        <f>D106-61</f>
        <v>955</v>
      </c>
      <c r="E116" s="57">
        <f>E107-61</f>
        <v>629.66666666666663</v>
      </c>
      <c r="F116" s="57">
        <f>F108-61</f>
        <v>467</v>
      </c>
      <c r="G116" s="57">
        <f>G109-61</f>
        <v>457</v>
      </c>
      <c r="H116" s="58">
        <f>H110-61</f>
        <v>369.4</v>
      </c>
    </row>
    <row r="117" spans="1:8" ht="15.75" x14ac:dyDescent="0.25">
      <c r="A117" s="23" t="str">
        <f t="shared" si="14"/>
        <v>Quattroсо шлегелемРазмер заполнения ЛДСП   H, мм</v>
      </c>
      <c r="B117" s="59" t="s">
        <v>100</v>
      </c>
      <c r="C117" s="39" t="s">
        <v>32</v>
      </c>
      <c r="D117" s="60">
        <f>D105-58</f>
        <v>2402</v>
      </c>
      <c r="E117" s="60">
        <f t="shared" ref="E117:H117" si="16">E105-58</f>
        <v>2402</v>
      </c>
      <c r="F117" s="60">
        <f t="shared" si="16"/>
        <v>2402</v>
      </c>
      <c r="G117" s="60">
        <f t="shared" si="16"/>
        <v>2402</v>
      </c>
      <c r="H117" s="60">
        <f t="shared" si="16"/>
        <v>2402</v>
      </c>
    </row>
    <row r="118" spans="1:8" ht="15.75" x14ac:dyDescent="0.25">
      <c r="A118" s="23" t="str">
        <f t="shared" si="14"/>
        <v>Quattroсо шлегелемРазмер заполнения  зеркало/стекло  L, мм</v>
      </c>
      <c r="B118" s="63" t="s">
        <v>101</v>
      </c>
      <c r="C118" s="39" t="s">
        <v>133</v>
      </c>
      <c r="D118" s="60">
        <f>D106-63</f>
        <v>953</v>
      </c>
      <c r="E118" s="61">
        <f>E107-63</f>
        <v>627.66666666666663</v>
      </c>
      <c r="F118" s="61">
        <f>F108-63</f>
        <v>465</v>
      </c>
      <c r="G118" s="61">
        <f>G109-63</f>
        <v>455</v>
      </c>
      <c r="H118" s="62">
        <f>H110-63</f>
        <v>367.4</v>
      </c>
    </row>
    <row r="119" spans="1:8" ht="16.5" thickBot="1" x14ac:dyDescent="0.3">
      <c r="A119" s="23" t="str">
        <f t="shared" si="14"/>
        <v>Quattroсо шлегелемРазмер заполнения  зеркало/стекло  H, мм</v>
      </c>
      <c r="B119" s="64" t="s">
        <v>102</v>
      </c>
      <c r="C119" s="44" t="s">
        <v>34</v>
      </c>
      <c r="D119" s="65">
        <f>D105-60</f>
        <v>2400</v>
      </c>
      <c r="E119" s="65">
        <f t="shared" ref="E119:H119" si="17">E105-60</f>
        <v>2400</v>
      </c>
      <c r="F119" s="65">
        <f t="shared" si="17"/>
        <v>2400</v>
      </c>
      <c r="G119" s="65">
        <f t="shared" si="17"/>
        <v>2400</v>
      </c>
      <c r="H119" s="65">
        <f t="shared" si="17"/>
        <v>2400</v>
      </c>
    </row>
    <row r="120" spans="1:8" ht="15.75" thickBot="1" x14ac:dyDescent="0.3"/>
    <row r="121" spans="1:8" ht="15.75" thickBot="1" x14ac:dyDescent="0.3">
      <c r="B121" s="107" t="s">
        <v>9</v>
      </c>
      <c r="C121" s="116" t="s">
        <v>154</v>
      </c>
      <c r="D121" s="117"/>
      <c r="E121" s="117"/>
      <c r="F121" s="117"/>
      <c r="G121" s="117"/>
      <c r="H121" s="118"/>
    </row>
    <row r="122" spans="1:8" x14ac:dyDescent="0.25">
      <c r="B122" s="108"/>
      <c r="C122" s="111" t="s">
        <v>10</v>
      </c>
      <c r="D122" s="111"/>
      <c r="E122" s="111"/>
      <c r="F122" s="111"/>
      <c r="G122" s="111"/>
      <c r="H122" s="112"/>
    </row>
    <row r="123" spans="1:8" ht="15.75" thickBot="1" x14ac:dyDescent="0.3">
      <c r="B123" s="108"/>
      <c r="C123" s="30" t="s">
        <v>12</v>
      </c>
      <c r="D123" s="31" t="s">
        <v>13</v>
      </c>
      <c r="E123" s="31" t="s">
        <v>14</v>
      </c>
      <c r="F123" s="31" t="s">
        <v>50</v>
      </c>
      <c r="G123" s="31" t="s">
        <v>51</v>
      </c>
      <c r="H123" s="32" t="s">
        <v>16</v>
      </c>
    </row>
    <row r="124" spans="1:8" ht="18.75" x14ac:dyDescent="0.3">
      <c r="A124" s="23" t="str">
        <f>CONCATENATE($C$121,$C$122,B124)</f>
        <v>L-ассиметриябез шлегеляВысота двери</v>
      </c>
      <c r="B124" s="33" t="s">
        <v>17</v>
      </c>
      <c r="C124" s="72" t="s">
        <v>18</v>
      </c>
      <c r="D124" s="35">
        <f>$B$3-40</f>
        <v>2460</v>
      </c>
      <c r="E124" s="36">
        <f>$B$3-40</f>
        <v>2460</v>
      </c>
      <c r="F124" s="36">
        <f>$B$3-40</f>
        <v>2460</v>
      </c>
      <c r="G124" s="36">
        <f>$B$3-40</f>
        <v>2460</v>
      </c>
      <c r="H124" s="37">
        <f>$B$3-40</f>
        <v>2460</v>
      </c>
    </row>
    <row r="125" spans="1:8" ht="18.75" x14ac:dyDescent="0.3">
      <c r="A125" s="23" t="str">
        <f t="shared" ref="A125:A138" si="18">CONCATENATE($C$121,$C$122,B125)</f>
        <v>L-ассиметриябез шлегеляШирина двери (2 двери)                                           I-----____I</v>
      </c>
      <c r="B125" s="38" t="s">
        <v>112</v>
      </c>
      <c r="C125" s="73" t="s">
        <v>63</v>
      </c>
      <c r="D125" s="40">
        <f>($B$5+42)/2</f>
        <v>1021</v>
      </c>
      <c r="E125" s="41"/>
      <c r="F125" s="41"/>
      <c r="G125" s="41"/>
      <c r="H125" s="42"/>
    </row>
    <row r="126" spans="1:8" ht="18.75" x14ac:dyDescent="0.3">
      <c r="A126" s="23" t="str">
        <f t="shared" si="18"/>
        <v>L-ассиметриябез шлегеляШирина двери (3 двери)                                    I-----____-----I</v>
      </c>
      <c r="B126" s="38" t="s">
        <v>111</v>
      </c>
      <c r="C126" s="73" t="s">
        <v>64</v>
      </c>
      <c r="D126" s="40"/>
      <c r="E126" s="41">
        <f>($B$5+42*2)/3</f>
        <v>694.66666666666663</v>
      </c>
      <c r="F126" s="41"/>
      <c r="G126" s="41"/>
      <c r="H126" s="42"/>
    </row>
    <row r="127" spans="1:8" ht="18.75" x14ac:dyDescent="0.3">
      <c r="A127" s="23" t="str">
        <f t="shared" si="18"/>
        <v>L-ассиметриябез шлегеляШирина двери (4 двери) 1 вариант     I----- ____ -----____I</v>
      </c>
      <c r="B127" s="38" t="s">
        <v>109</v>
      </c>
      <c r="C127" s="73" t="s">
        <v>65</v>
      </c>
      <c r="D127" s="40"/>
      <c r="E127" s="41"/>
      <c r="F127" s="41">
        <f>($B$5+42*3)/4</f>
        <v>531.5</v>
      </c>
      <c r="G127" s="41"/>
      <c r="H127" s="42"/>
    </row>
    <row r="128" spans="1:8" ht="18.75" x14ac:dyDescent="0.3">
      <c r="A128" s="23" t="str">
        <f t="shared" si="18"/>
        <v>L-ассиметриябез шлегеляШирина двери (4 двери) 2 вариант     I-----____  ____-----I</v>
      </c>
      <c r="B128" s="38" t="s">
        <v>108</v>
      </c>
      <c r="C128" s="73" t="s">
        <v>66</v>
      </c>
      <c r="D128" s="40"/>
      <c r="E128" s="41"/>
      <c r="F128" s="41"/>
      <c r="G128" s="41">
        <f>($B$5+42*2)/4</f>
        <v>521</v>
      </c>
      <c r="H128" s="42"/>
    </row>
    <row r="129" spans="1:8" ht="19.5" thickBot="1" x14ac:dyDescent="0.35">
      <c r="A129" s="23" t="str">
        <f t="shared" si="18"/>
        <v>L-ассиметриябез шлегеляШирина двери (5 дверей)                  I-----____-----____-----I</v>
      </c>
      <c r="B129" s="43" t="s">
        <v>110</v>
      </c>
      <c r="C129" s="74" t="s">
        <v>67</v>
      </c>
      <c r="D129" s="45"/>
      <c r="E129" s="46"/>
      <c r="F129" s="46"/>
      <c r="G129" s="46"/>
      <c r="H129" s="47">
        <f>($B$5+42*4)/5</f>
        <v>433.6</v>
      </c>
    </row>
    <row r="130" spans="1:8" ht="15.75" thickBot="1" x14ac:dyDescent="0.3">
      <c r="A130" s="23" t="str">
        <f t="shared" si="18"/>
        <v>L-ассиметриябез шлегеляРельс верхний, мм</v>
      </c>
      <c r="B130" s="48" t="s">
        <v>103</v>
      </c>
      <c r="C130" s="72" t="s">
        <v>115</v>
      </c>
      <c r="D130" s="49">
        <f>$B$5</f>
        <v>2000</v>
      </c>
      <c r="E130" s="49">
        <f t="shared" ref="E130:H131" si="19">$B$5</f>
        <v>2000</v>
      </c>
      <c r="F130" s="49">
        <f t="shared" si="19"/>
        <v>2000</v>
      </c>
      <c r="G130" s="49">
        <f t="shared" si="19"/>
        <v>2000</v>
      </c>
      <c r="H130" s="49">
        <f t="shared" si="19"/>
        <v>2000</v>
      </c>
    </row>
    <row r="131" spans="1:8" x14ac:dyDescent="0.25">
      <c r="A131" s="23" t="str">
        <f t="shared" si="18"/>
        <v>L-ассиметриябез шлегеляРельс нижний, мм</v>
      </c>
      <c r="B131" s="50" t="s">
        <v>104</v>
      </c>
      <c r="C131" s="72" t="s">
        <v>115</v>
      </c>
      <c r="D131" s="49">
        <f>$B$5</f>
        <v>2000</v>
      </c>
      <c r="E131" s="49">
        <f t="shared" si="19"/>
        <v>2000</v>
      </c>
      <c r="F131" s="49">
        <f t="shared" si="19"/>
        <v>2000</v>
      </c>
      <c r="G131" s="49">
        <f t="shared" si="19"/>
        <v>2000</v>
      </c>
      <c r="H131" s="49">
        <f t="shared" si="19"/>
        <v>2000</v>
      </c>
    </row>
    <row r="132" spans="1:8" x14ac:dyDescent="0.25">
      <c r="A132" s="23" t="str">
        <f t="shared" si="18"/>
        <v>L-ассиметриябез шлегеляГоризонт верхний, мм</v>
      </c>
      <c r="B132" s="50" t="s">
        <v>105</v>
      </c>
      <c r="C132" s="73" t="s">
        <v>29</v>
      </c>
      <c r="D132" s="51">
        <f>D125-50</f>
        <v>971</v>
      </c>
      <c r="E132" s="52">
        <f>E126-50</f>
        <v>644.66666666666663</v>
      </c>
      <c r="F132" s="52">
        <f>F127-50</f>
        <v>481.5</v>
      </c>
      <c r="G132" s="52">
        <f>G128-50</f>
        <v>471</v>
      </c>
      <c r="H132" s="53">
        <f>H129-50</f>
        <v>383.6</v>
      </c>
    </row>
    <row r="133" spans="1:8" x14ac:dyDescent="0.25">
      <c r="A133" s="23" t="str">
        <f t="shared" si="18"/>
        <v>L-ассиметриябез шлегеляГоризонт нижний, мм</v>
      </c>
      <c r="B133" s="50" t="s">
        <v>106</v>
      </c>
      <c r="C133" s="73" t="s">
        <v>30</v>
      </c>
      <c r="D133" s="51">
        <f>D125-50</f>
        <v>971</v>
      </c>
      <c r="E133" s="52">
        <f>E126-50</f>
        <v>644.66666666666663</v>
      </c>
      <c r="F133" s="52">
        <f>F127-50</f>
        <v>481.5</v>
      </c>
      <c r="G133" s="52">
        <f>G128-50</f>
        <v>471</v>
      </c>
      <c r="H133" s="53">
        <f>H129-50</f>
        <v>383.6</v>
      </c>
    </row>
    <row r="134" spans="1:8" ht="15.75" thickBot="1" x14ac:dyDescent="0.3">
      <c r="A134" s="23" t="str">
        <f t="shared" si="18"/>
        <v>L-ассиметриябез шлегеляСоединительный профиль, мм</v>
      </c>
      <c r="B134" s="54" t="s">
        <v>107</v>
      </c>
      <c r="C134" s="74" t="s">
        <v>30</v>
      </c>
      <c r="D134" s="51">
        <f>D125-50</f>
        <v>971</v>
      </c>
      <c r="E134" s="52">
        <f>E126-50</f>
        <v>644.66666666666663</v>
      </c>
      <c r="F134" s="52">
        <f>F127-50</f>
        <v>481.5</v>
      </c>
      <c r="G134" s="52">
        <f>G128-50</f>
        <v>471</v>
      </c>
      <c r="H134" s="53">
        <f>H129-50</f>
        <v>383.6</v>
      </c>
    </row>
    <row r="135" spans="1:8" ht="15.75" x14ac:dyDescent="0.25">
      <c r="A135" s="23" t="str">
        <f t="shared" si="18"/>
        <v>L-ассиметриябез шлегеляРазмер заполнения ЛДСП   L, мм</v>
      </c>
      <c r="B135" s="55" t="s">
        <v>99</v>
      </c>
      <c r="C135" s="72" t="s">
        <v>31</v>
      </c>
      <c r="D135" s="56">
        <f>D125-36</f>
        <v>985</v>
      </c>
      <c r="E135" s="57">
        <f>E126-36</f>
        <v>658.66666666666663</v>
      </c>
      <c r="F135" s="57">
        <f>F127-36</f>
        <v>495.5</v>
      </c>
      <c r="G135" s="57">
        <f>G128-36</f>
        <v>485</v>
      </c>
      <c r="H135" s="58">
        <f>H129-36</f>
        <v>397.6</v>
      </c>
    </row>
    <row r="136" spans="1:8" ht="15.75" x14ac:dyDescent="0.25">
      <c r="A136" s="23" t="str">
        <f t="shared" si="18"/>
        <v>L-ассиметриябез шлегеляРазмер заполнения ЛДСП   H, мм</v>
      </c>
      <c r="B136" s="59" t="s">
        <v>100</v>
      </c>
      <c r="C136" s="73" t="s">
        <v>32</v>
      </c>
      <c r="D136" s="60">
        <f>D124-58</f>
        <v>2402</v>
      </c>
      <c r="E136" s="61">
        <f>E124-58</f>
        <v>2402</v>
      </c>
      <c r="F136" s="61">
        <f>F124-58</f>
        <v>2402</v>
      </c>
      <c r="G136" s="61">
        <f>G124-58</f>
        <v>2402</v>
      </c>
      <c r="H136" s="62">
        <f>H124-58</f>
        <v>2402</v>
      </c>
    </row>
    <row r="137" spans="1:8" ht="15.75" x14ac:dyDescent="0.25">
      <c r="A137" s="23" t="str">
        <f t="shared" si="18"/>
        <v>L-ассиметриябез шлегеляРазмер заполнения  зеркало/стекло  L, мм</v>
      </c>
      <c r="B137" s="63" t="s">
        <v>101</v>
      </c>
      <c r="C137" s="73" t="s">
        <v>33</v>
      </c>
      <c r="D137" s="60">
        <f>D125-38</f>
        <v>983</v>
      </c>
      <c r="E137" s="61">
        <f>E126-38</f>
        <v>656.66666666666663</v>
      </c>
      <c r="F137" s="61">
        <f>F127-38</f>
        <v>493.5</v>
      </c>
      <c r="G137" s="61">
        <f>G128-38</f>
        <v>483</v>
      </c>
      <c r="H137" s="62">
        <f>H129-38</f>
        <v>395.6</v>
      </c>
    </row>
    <row r="138" spans="1:8" ht="16.5" thickBot="1" x14ac:dyDescent="0.3">
      <c r="A138" s="23" t="str">
        <f t="shared" si="18"/>
        <v>L-ассиметриябез шлегеляРазмер заполнения  зеркало/стекло  H, мм</v>
      </c>
      <c r="B138" s="64" t="s">
        <v>102</v>
      </c>
      <c r="C138" s="74" t="s">
        <v>34</v>
      </c>
      <c r="D138" s="65">
        <f>D124-60</f>
        <v>2400</v>
      </c>
      <c r="E138" s="66">
        <f>E124-60</f>
        <v>2400</v>
      </c>
      <c r="F138" s="66">
        <f>F124-60</f>
        <v>2400</v>
      </c>
      <c r="G138" s="66">
        <f>G124-60</f>
        <v>2400</v>
      </c>
      <c r="H138" s="67">
        <f>H124-60</f>
        <v>2400</v>
      </c>
    </row>
    <row r="139" spans="1:8" ht="15.75" thickBot="1" x14ac:dyDescent="0.3"/>
    <row r="140" spans="1:8" ht="15.75" thickBot="1" x14ac:dyDescent="0.3">
      <c r="B140" s="107" t="s">
        <v>9</v>
      </c>
      <c r="C140" s="116" t="s">
        <v>154</v>
      </c>
      <c r="D140" s="117"/>
      <c r="E140" s="117"/>
      <c r="F140" s="117"/>
      <c r="G140" s="117"/>
      <c r="H140" s="118"/>
    </row>
    <row r="141" spans="1:8" x14ac:dyDescent="0.25">
      <c r="B141" s="108"/>
      <c r="C141" s="110" t="s">
        <v>11</v>
      </c>
      <c r="D141" s="111"/>
      <c r="E141" s="111"/>
      <c r="F141" s="111"/>
      <c r="G141" s="111"/>
      <c r="H141" s="112"/>
    </row>
    <row r="142" spans="1:8" ht="15.75" thickBot="1" x14ac:dyDescent="0.3">
      <c r="B142" s="108"/>
      <c r="C142" s="75" t="s">
        <v>12</v>
      </c>
      <c r="D142" s="31" t="s">
        <v>13</v>
      </c>
      <c r="E142" s="31" t="s">
        <v>14</v>
      </c>
      <c r="F142" s="31" t="s">
        <v>50</v>
      </c>
      <c r="G142" s="31" t="s">
        <v>51</v>
      </c>
      <c r="H142" s="32" t="s">
        <v>16</v>
      </c>
    </row>
    <row r="143" spans="1:8" ht="18.75" x14ac:dyDescent="0.3">
      <c r="A143" s="23" t="str">
        <f>CONCATENATE($C$140,$C$141,B143)</f>
        <v>L-ассиметриясо шлегелемВысота двери</v>
      </c>
      <c r="B143" s="33" t="s">
        <v>17</v>
      </c>
      <c r="C143" s="34" t="s">
        <v>18</v>
      </c>
      <c r="D143" s="76">
        <f>$B$3-40</f>
        <v>2460</v>
      </c>
      <c r="E143" s="77">
        <f>$B$3-40</f>
        <v>2460</v>
      </c>
      <c r="F143" s="77">
        <f>$B$3-40</f>
        <v>2460</v>
      </c>
      <c r="G143" s="77">
        <f>$B$3-40</f>
        <v>2460</v>
      </c>
      <c r="H143" s="78">
        <f>$B$3-40</f>
        <v>2460</v>
      </c>
    </row>
    <row r="144" spans="1:8" ht="18.75" x14ac:dyDescent="0.3">
      <c r="A144" s="23" t="str">
        <f t="shared" ref="A144:A157" si="20">CONCATENATE($C$140,$C$141,B144)</f>
        <v>L-ассиметриясо шлегелемШирина двери (2 двери)                                           I-----____I</v>
      </c>
      <c r="B144" s="38" t="s">
        <v>112</v>
      </c>
      <c r="C144" s="39" t="s">
        <v>68</v>
      </c>
      <c r="D144" s="79">
        <f>($B$5+42-8)/2</f>
        <v>1017</v>
      </c>
      <c r="E144" s="80"/>
      <c r="F144" s="80"/>
      <c r="G144" s="80"/>
      <c r="H144" s="81"/>
    </row>
    <row r="145" spans="1:8" ht="18.75" x14ac:dyDescent="0.3">
      <c r="A145" s="23" t="str">
        <f t="shared" si="20"/>
        <v>L-ассиметриясо шлегелемШирина двери (3 двери)                                    I-----____-----I</v>
      </c>
      <c r="B145" s="38" t="s">
        <v>111</v>
      </c>
      <c r="C145" s="39" t="s">
        <v>69</v>
      </c>
      <c r="D145" s="79"/>
      <c r="E145" s="80">
        <f>($B$5+42*2-8)/3</f>
        <v>692</v>
      </c>
      <c r="F145" s="80"/>
      <c r="G145" s="80"/>
      <c r="H145" s="81"/>
    </row>
    <row r="146" spans="1:8" ht="18.75" x14ac:dyDescent="0.3">
      <c r="A146" s="23" t="str">
        <f t="shared" si="20"/>
        <v>L-ассиметриясо шлегелемШирина двери (4 двери) 1 вариант     I----- ____ -----____I</v>
      </c>
      <c r="B146" s="38" t="s">
        <v>109</v>
      </c>
      <c r="C146" s="39" t="s">
        <v>70</v>
      </c>
      <c r="D146" s="79"/>
      <c r="E146" s="80"/>
      <c r="F146" s="82">
        <f>($B$5+42*3-8)/4</f>
        <v>529.5</v>
      </c>
      <c r="G146" s="80"/>
      <c r="H146" s="81"/>
    </row>
    <row r="147" spans="1:8" ht="18.75" x14ac:dyDescent="0.3">
      <c r="A147" s="23" t="str">
        <f t="shared" si="20"/>
        <v>L-ассиметриясо шлегелемШирина двери (4 двери) 2 вариант     I-----____  ____-----I</v>
      </c>
      <c r="B147" s="38" t="s">
        <v>108</v>
      </c>
      <c r="C147" s="39" t="s">
        <v>71</v>
      </c>
      <c r="D147" s="79"/>
      <c r="E147" s="80"/>
      <c r="F147" s="80"/>
      <c r="G147" s="80">
        <f>($B$5+42*2-8)/4</f>
        <v>519</v>
      </c>
      <c r="H147" s="81"/>
    </row>
    <row r="148" spans="1:8" ht="19.5" thickBot="1" x14ac:dyDescent="0.35">
      <c r="A148" s="23" t="str">
        <f t="shared" si="20"/>
        <v>L-ассиметриясо шлегелемШирина двери (5 дверей)                  I-----____-----____-----I</v>
      </c>
      <c r="B148" s="43" t="s">
        <v>110</v>
      </c>
      <c r="C148" s="44" t="s">
        <v>72</v>
      </c>
      <c r="D148" s="83"/>
      <c r="E148" s="84"/>
      <c r="F148" s="84"/>
      <c r="G148" s="84"/>
      <c r="H148" s="85">
        <f>($B$5+42*4-8)/5</f>
        <v>432</v>
      </c>
    </row>
    <row r="149" spans="1:8" ht="15.75" thickBot="1" x14ac:dyDescent="0.3">
      <c r="A149" s="23" t="str">
        <f t="shared" si="20"/>
        <v>L-ассиметриясо шлегелемРельс верхний, мм</v>
      </c>
      <c r="B149" s="48" t="s">
        <v>103</v>
      </c>
      <c r="C149" s="72" t="s">
        <v>115</v>
      </c>
      <c r="D149" s="49">
        <f>$B$5</f>
        <v>2000</v>
      </c>
      <c r="E149" s="49">
        <f t="shared" ref="E149:H150" si="21">$B$5</f>
        <v>2000</v>
      </c>
      <c r="F149" s="49">
        <f t="shared" si="21"/>
        <v>2000</v>
      </c>
      <c r="G149" s="49">
        <f t="shared" si="21"/>
        <v>2000</v>
      </c>
      <c r="H149" s="49">
        <f t="shared" si="21"/>
        <v>2000</v>
      </c>
    </row>
    <row r="150" spans="1:8" x14ac:dyDescent="0.25">
      <c r="A150" s="23" t="str">
        <f t="shared" si="20"/>
        <v>L-ассиметриясо шлегелемРельс нижний, мм</v>
      </c>
      <c r="B150" s="50" t="s">
        <v>104</v>
      </c>
      <c r="C150" s="72" t="s">
        <v>115</v>
      </c>
      <c r="D150" s="49">
        <f>$B$5</f>
        <v>2000</v>
      </c>
      <c r="E150" s="49">
        <f t="shared" si="21"/>
        <v>2000</v>
      </c>
      <c r="F150" s="49">
        <f t="shared" si="21"/>
        <v>2000</v>
      </c>
      <c r="G150" s="49">
        <f t="shared" si="21"/>
        <v>2000</v>
      </c>
      <c r="H150" s="49">
        <f t="shared" si="21"/>
        <v>2000</v>
      </c>
    </row>
    <row r="151" spans="1:8" x14ac:dyDescent="0.25">
      <c r="A151" s="23" t="str">
        <f t="shared" si="20"/>
        <v>L-ассиметриясо шлегелемГоризонт верхний, мм</v>
      </c>
      <c r="B151" s="50" t="s">
        <v>105</v>
      </c>
      <c r="C151" s="73" t="s">
        <v>29</v>
      </c>
      <c r="D151" s="86">
        <f>D144-50</f>
        <v>967</v>
      </c>
      <c r="E151" s="87">
        <f>E145-50</f>
        <v>642</v>
      </c>
      <c r="F151" s="52">
        <f>F146-50</f>
        <v>479.5</v>
      </c>
      <c r="G151" s="87">
        <f>G147-50</f>
        <v>469</v>
      </c>
      <c r="H151" s="88">
        <f>H148-50</f>
        <v>382</v>
      </c>
    </row>
    <row r="152" spans="1:8" x14ac:dyDescent="0.25">
      <c r="A152" s="23" t="str">
        <f t="shared" si="20"/>
        <v>L-ассиметриясо шлегелемГоризонт нижний, мм</v>
      </c>
      <c r="B152" s="50" t="s">
        <v>106</v>
      </c>
      <c r="C152" s="73" t="s">
        <v>29</v>
      </c>
      <c r="D152" s="86">
        <f>D144-50</f>
        <v>967</v>
      </c>
      <c r="E152" s="87">
        <f>E145-50</f>
        <v>642</v>
      </c>
      <c r="F152" s="52">
        <f>F146-50</f>
        <v>479.5</v>
      </c>
      <c r="G152" s="87">
        <f>G147-50</f>
        <v>469</v>
      </c>
      <c r="H152" s="88">
        <f>H148-50</f>
        <v>382</v>
      </c>
    </row>
    <row r="153" spans="1:8" ht="15.75" thickBot="1" x14ac:dyDescent="0.3">
      <c r="A153" s="23" t="str">
        <f t="shared" si="20"/>
        <v>L-ассиметриясо шлегелемСоединительный профиль, мм</v>
      </c>
      <c r="B153" s="54" t="s">
        <v>107</v>
      </c>
      <c r="C153" s="73" t="s">
        <v>29</v>
      </c>
      <c r="D153" s="86">
        <f>D144-50</f>
        <v>967</v>
      </c>
      <c r="E153" s="87">
        <f>E145-50</f>
        <v>642</v>
      </c>
      <c r="F153" s="52">
        <f>F146-50</f>
        <v>479.5</v>
      </c>
      <c r="G153" s="87">
        <f>G147-50</f>
        <v>469</v>
      </c>
      <c r="H153" s="88">
        <f>H148-50</f>
        <v>382</v>
      </c>
    </row>
    <row r="154" spans="1:8" ht="15.75" x14ac:dyDescent="0.25">
      <c r="A154" s="23" t="str">
        <f t="shared" si="20"/>
        <v>L-ассиметриясо шлегелемРазмер заполнения ЛДСП   L, мм</v>
      </c>
      <c r="B154" s="55" t="s">
        <v>99</v>
      </c>
      <c r="C154" s="72" t="s">
        <v>31</v>
      </c>
      <c r="D154" s="89">
        <f>D144-36</f>
        <v>981</v>
      </c>
      <c r="E154" s="90">
        <f>E145-36</f>
        <v>656</v>
      </c>
      <c r="F154" s="70">
        <f>F146-36</f>
        <v>493.5</v>
      </c>
      <c r="G154" s="90">
        <f>G147-36</f>
        <v>483</v>
      </c>
      <c r="H154" s="91">
        <f>H148-36</f>
        <v>396</v>
      </c>
    </row>
    <row r="155" spans="1:8" ht="15.75" x14ac:dyDescent="0.25">
      <c r="A155" s="23" t="str">
        <f t="shared" si="20"/>
        <v>L-ассиметриясо шлегелемРазмер заполнения ЛДСП   H, мм</v>
      </c>
      <c r="B155" s="59" t="s">
        <v>100</v>
      </c>
      <c r="C155" s="73" t="s">
        <v>32</v>
      </c>
      <c r="D155" s="92">
        <f>D143-58</f>
        <v>2402</v>
      </c>
      <c r="E155" s="93">
        <f>E143-58</f>
        <v>2402</v>
      </c>
      <c r="F155" s="93">
        <f t="shared" ref="F155:H155" si="22">F143-58</f>
        <v>2402</v>
      </c>
      <c r="G155" s="93">
        <f t="shared" si="22"/>
        <v>2402</v>
      </c>
      <c r="H155" s="93">
        <f t="shared" si="22"/>
        <v>2402</v>
      </c>
    </row>
    <row r="156" spans="1:8" ht="15.75" x14ac:dyDescent="0.25">
      <c r="A156" s="23" t="str">
        <f t="shared" si="20"/>
        <v>L-ассиметриясо шлегелемРазмер заполнения  зеркало/стекло  L, мм</v>
      </c>
      <c r="B156" s="63" t="s">
        <v>101</v>
      </c>
      <c r="C156" s="73" t="s">
        <v>33</v>
      </c>
      <c r="D156" s="92">
        <f>D144-38</f>
        <v>979</v>
      </c>
      <c r="E156" s="93">
        <f>E145-38</f>
        <v>654</v>
      </c>
      <c r="F156" s="70">
        <f>F146-38</f>
        <v>491.5</v>
      </c>
      <c r="G156" s="93">
        <f>G147-38</f>
        <v>481</v>
      </c>
      <c r="H156" s="94">
        <f>H148-38</f>
        <v>394</v>
      </c>
    </row>
    <row r="157" spans="1:8" ht="16.5" thickBot="1" x14ac:dyDescent="0.3">
      <c r="A157" s="23" t="str">
        <f t="shared" si="20"/>
        <v>L-ассиметриясо шлегелемРазмер заполнения  зеркало/стекло  H, мм</v>
      </c>
      <c r="B157" s="64" t="s">
        <v>102</v>
      </c>
      <c r="C157" s="74" t="s">
        <v>34</v>
      </c>
      <c r="D157" s="95">
        <f>D143-60</f>
        <v>2400</v>
      </c>
      <c r="E157" s="96">
        <f>E143-60</f>
        <v>2400</v>
      </c>
      <c r="F157" s="96">
        <f>F143-60</f>
        <v>2400</v>
      </c>
      <c r="G157" s="96">
        <f>G143-60</f>
        <v>2400</v>
      </c>
      <c r="H157" s="97">
        <f>H143-60</f>
        <v>2400</v>
      </c>
    </row>
    <row r="158" spans="1:8" ht="15.75" thickBot="1" x14ac:dyDescent="0.3"/>
    <row r="159" spans="1:8" ht="15.75" thickBot="1" x14ac:dyDescent="0.3">
      <c r="B159" s="107" t="s">
        <v>9</v>
      </c>
      <c r="C159" s="116" t="s">
        <v>93</v>
      </c>
      <c r="D159" s="117"/>
      <c r="E159" s="117"/>
      <c r="F159" s="117"/>
      <c r="G159" s="117"/>
      <c r="H159" s="118"/>
    </row>
    <row r="160" spans="1:8" x14ac:dyDescent="0.25">
      <c r="B160" s="108"/>
      <c r="C160" s="110" t="s">
        <v>10</v>
      </c>
      <c r="D160" s="111"/>
      <c r="E160" s="111"/>
      <c r="F160" s="111"/>
      <c r="G160" s="111"/>
      <c r="H160" s="112"/>
    </row>
    <row r="161" spans="1:8" ht="15.75" thickBot="1" x14ac:dyDescent="0.3">
      <c r="B161" s="108"/>
      <c r="C161" s="30" t="s">
        <v>12</v>
      </c>
      <c r="D161" s="31" t="s">
        <v>13</v>
      </c>
      <c r="E161" s="31" t="s">
        <v>14</v>
      </c>
      <c r="F161" s="31" t="s">
        <v>50</v>
      </c>
      <c r="G161" s="31" t="s">
        <v>51</v>
      </c>
      <c r="H161" s="32" t="s">
        <v>16</v>
      </c>
    </row>
    <row r="162" spans="1:8" ht="18.75" x14ac:dyDescent="0.3">
      <c r="A162" s="23" t="str">
        <f>CONCATENATE($C$159,$C$160,B162)</f>
        <v>Elegantбез шлегеляВысота двери</v>
      </c>
      <c r="B162" s="33" t="s">
        <v>17</v>
      </c>
      <c r="C162" s="72" t="s">
        <v>18</v>
      </c>
      <c r="D162" s="76">
        <f>$B$3-40</f>
        <v>2460</v>
      </c>
      <c r="E162" s="77">
        <f>$B$3-40</f>
        <v>2460</v>
      </c>
      <c r="F162" s="77">
        <f t="shared" ref="F162:H162" si="23">$B$3-40</f>
        <v>2460</v>
      </c>
      <c r="G162" s="77">
        <f t="shared" si="23"/>
        <v>2460</v>
      </c>
      <c r="H162" s="78">
        <f t="shared" si="23"/>
        <v>2460</v>
      </c>
    </row>
    <row r="163" spans="1:8" ht="18.75" x14ac:dyDescent="0.3">
      <c r="A163" s="23" t="str">
        <f t="shared" ref="A163:A176" si="24">CONCATENATE($C$159,$C$160,B163)</f>
        <v>Elegantбез шлегеляШирина двери (2 двери)                                           I-----____I</v>
      </c>
      <c r="B163" s="38" t="s">
        <v>112</v>
      </c>
      <c r="C163" s="73" t="s">
        <v>19</v>
      </c>
      <c r="D163" s="79">
        <f>($B$5+26)/2</f>
        <v>1013</v>
      </c>
      <c r="E163" s="80"/>
      <c r="F163" s="80"/>
      <c r="G163" s="80"/>
      <c r="H163" s="81"/>
    </row>
    <row r="164" spans="1:8" ht="18.75" x14ac:dyDescent="0.3">
      <c r="A164" s="23" t="str">
        <f t="shared" si="24"/>
        <v>Elegantбез шлегеляШирина двери (3 двери)                                    I-----____-----I</v>
      </c>
      <c r="B164" s="38" t="s">
        <v>111</v>
      </c>
      <c r="C164" s="73" t="s">
        <v>21</v>
      </c>
      <c r="D164" s="79"/>
      <c r="E164" s="80">
        <f>($B$5+26*2)/3</f>
        <v>684</v>
      </c>
      <c r="F164" s="80"/>
      <c r="G164" s="80"/>
      <c r="H164" s="81"/>
    </row>
    <row r="165" spans="1:8" ht="18.75" x14ac:dyDescent="0.3">
      <c r="A165" s="23" t="str">
        <f t="shared" si="24"/>
        <v>Elegantбез шлегеляШирина двери (4 двери) 1 вариант     I----- ____ -----____I</v>
      </c>
      <c r="B165" s="38" t="s">
        <v>109</v>
      </c>
      <c r="C165" s="73" t="s">
        <v>23</v>
      </c>
      <c r="D165" s="79"/>
      <c r="E165" s="80"/>
      <c r="F165" s="41">
        <f>($B$5+26*3)/4</f>
        <v>519.5</v>
      </c>
      <c r="G165" s="80"/>
      <c r="H165" s="81"/>
    </row>
    <row r="166" spans="1:8" ht="18.75" x14ac:dyDescent="0.3">
      <c r="A166" s="23" t="str">
        <f t="shared" si="24"/>
        <v>Elegantбез шлегеляШирина двери (4 двери) 2 вариант     I-----____  ____-----I</v>
      </c>
      <c r="B166" s="38" t="s">
        <v>108</v>
      </c>
      <c r="C166" s="73" t="s">
        <v>25</v>
      </c>
      <c r="D166" s="79"/>
      <c r="E166" s="80"/>
      <c r="F166" s="80"/>
      <c r="G166" s="80">
        <f>($B$5+26*2)/4</f>
        <v>513</v>
      </c>
      <c r="H166" s="81"/>
    </row>
    <row r="167" spans="1:8" ht="19.5" thickBot="1" x14ac:dyDescent="0.35">
      <c r="A167" s="23" t="str">
        <f t="shared" si="24"/>
        <v>Elegantбез шлегеляШирина двери (5 дверей)                  I-----____-----____-----I</v>
      </c>
      <c r="B167" s="43" t="s">
        <v>110</v>
      </c>
      <c r="C167" s="74" t="s">
        <v>27</v>
      </c>
      <c r="D167" s="83"/>
      <c r="E167" s="84"/>
      <c r="F167" s="84"/>
      <c r="G167" s="84"/>
      <c r="H167" s="47">
        <f>($B$5+26*4)/5</f>
        <v>420.8</v>
      </c>
    </row>
    <row r="168" spans="1:8" ht="15.75" thickBot="1" x14ac:dyDescent="0.3">
      <c r="A168" s="23" t="str">
        <f t="shared" si="24"/>
        <v>Elegantбез шлегеляРельс верхний, мм</v>
      </c>
      <c r="B168" s="48" t="s">
        <v>103</v>
      </c>
      <c r="C168" s="72" t="s">
        <v>115</v>
      </c>
      <c r="D168" s="49">
        <f>$B$5</f>
        <v>2000</v>
      </c>
      <c r="E168" s="49">
        <f t="shared" ref="E168:H169" si="25">$B$5</f>
        <v>2000</v>
      </c>
      <c r="F168" s="49">
        <f t="shared" si="25"/>
        <v>2000</v>
      </c>
      <c r="G168" s="49">
        <f t="shared" si="25"/>
        <v>2000</v>
      </c>
      <c r="H168" s="49">
        <f t="shared" si="25"/>
        <v>2000</v>
      </c>
    </row>
    <row r="169" spans="1:8" x14ac:dyDescent="0.25">
      <c r="A169" s="23" t="str">
        <f t="shared" si="24"/>
        <v>Elegantбез шлегеляРельс нижний, мм</v>
      </c>
      <c r="B169" s="50" t="s">
        <v>104</v>
      </c>
      <c r="C169" s="72" t="s">
        <v>115</v>
      </c>
      <c r="D169" s="49">
        <f>$B$5</f>
        <v>2000</v>
      </c>
      <c r="E169" s="49">
        <f t="shared" si="25"/>
        <v>2000</v>
      </c>
      <c r="F169" s="49">
        <f t="shared" si="25"/>
        <v>2000</v>
      </c>
      <c r="G169" s="49">
        <f t="shared" si="25"/>
        <v>2000</v>
      </c>
      <c r="H169" s="49">
        <f t="shared" si="25"/>
        <v>2000</v>
      </c>
    </row>
    <row r="170" spans="1:8" x14ac:dyDescent="0.25">
      <c r="A170" s="23" t="str">
        <f t="shared" si="24"/>
        <v>Elegantбез шлегеляГоризонт верхний, мм</v>
      </c>
      <c r="B170" s="50" t="s">
        <v>105</v>
      </c>
      <c r="C170" s="73" t="s">
        <v>134</v>
      </c>
      <c r="D170" s="86">
        <f>D163-37</f>
        <v>976</v>
      </c>
      <c r="E170" s="87">
        <f>E164-37</f>
        <v>647</v>
      </c>
      <c r="F170" s="52">
        <f>F165-37</f>
        <v>482.5</v>
      </c>
      <c r="G170" s="87">
        <f>G166-37</f>
        <v>476</v>
      </c>
      <c r="H170" s="53">
        <f>H167-37</f>
        <v>383.8</v>
      </c>
    </row>
    <row r="171" spans="1:8" x14ac:dyDescent="0.25">
      <c r="A171" s="23" t="str">
        <f t="shared" si="24"/>
        <v>Elegantбез шлегеляГоризонт нижний, мм</v>
      </c>
      <c r="B171" s="50" t="s">
        <v>106</v>
      </c>
      <c r="C171" s="73" t="s">
        <v>134</v>
      </c>
      <c r="D171" s="86">
        <f>D163-37</f>
        <v>976</v>
      </c>
      <c r="E171" s="87">
        <f>E164-37</f>
        <v>647</v>
      </c>
      <c r="F171" s="52">
        <f>F165-37</f>
        <v>482.5</v>
      </c>
      <c r="G171" s="87">
        <f>G166-37</f>
        <v>476</v>
      </c>
      <c r="H171" s="53">
        <f>H167-37</f>
        <v>383.8</v>
      </c>
    </row>
    <row r="172" spans="1:8" ht="15.75" thickBot="1" x14ac:dyDescent="0.3">
      <c r="A172" s="23" t="str">
        <f t="shared" si="24"/>
        <v>Elegantбез шлегеляСоединительный профиль, мм</v>
      </c>
      <c r="B172" s="54" t="s">
        <v>107</v>
      </c>
      <c r="C172" s="73" t="s">
        <v>134</v>
      </c>
      <c r="D172" s="86">
        <f>D163-37</f>
        <v>976</v>
      </c>
      <c r="E172" s="87">
        <f>E164-37</f>
        <v>647</v>
      </c>
      <c r="F172" s="52">
        <f>F165-37</f>
        <v>482.5</v>
      </c>
      <c r="G172" s="87">
        <f>G166-37</f>
        <v>476</v>
      </c>
      <c r="H172" s="53">
        <f>H167-37</f>
        <v>383.8</v>
      </c>
    </row>
    <row r="173" spans="1:8" ht="15.75" x14ac:dyDescent="0.25">
      <c r="A173" s="23" t="str">
        <f t="shared" si="24"/>
        <v>Elegantбез шлегеляРазмер заполнения ЛДСП   L, мм</v>
      </c>
      <c r="B173" s="55" t="s">
        <v>99</v>
      </c>
      <c r="C173" s="72" t="s">
        <v>135</v>
      </c>
      <c r="D173" s="98">
        <f>D163-23</f>
        <v>990</v>
      </c>
      <c r="E173" s="99">
        <f>E164-23</f>
        <v>661</v>
      </c>
      <c r="F173" s="57">
        <f>F165-23</f>
        <v>496.5</v>
      </c>
      <c r="G173" s="99">
        <f>G166-23</f>
        <v>490</v>
      </c>
      <c r="H173" s="58">
        <f>H167-23</f>
        <v>397.8</v>
      </c>
    </row>
    <row r="174" spans="1:8" ht="15.75" x14ac:dyDescent="0.25">
      <c r="A174" s="23" t="str">
        <f t="shared" si="24"/>
        <v>Elegantбез шлегеляРазмер заполнения ЛДСП   H, мм</v>
      </c>
      <c r="B174" s="59" t="s">
        <v>100</v>
      </c>
      <c r="C174" s="73" t="s">
        <v>32</v>
      </c>
      <c r="D174" s="92">
        <f>D162-58</f>
        <v>2402</v>
      </c>
      <c r="E174" s="93">
        <f>E162-58</f>
        <v>2402</v>
      </c>
      <c r="F174" s="61">
        <f>F162-58</f>
        <v>2402</v>
      </c>
      <c r="G174" s="93">
        <f>G162-58</f>
        <v>2402</v>
      </c>
      <c r="H174" s="62">
        <f>H162-58</f>
        <v>2402</v>
      </c>
    </row>
    <row r="175" spans="1:8" ht="15.75" x14ac:dyDescent="0.25">
      <c r="A175" s="23" t="str">
        <f t="shared" si="24"/>
        <v>Elegantбез шлегеляРазмер заполнения  зеркало/стекло  L, мм</v>
      </c>
      <c r="B175" s="63" t="s">
        <v>101</v>
      </c>
      <c r="C175" s="73" t="s">
        <v>136</v>
      </c>
      <c r="D175" s="92">
        <f>D163-25</f>
        <v>988</v>
      </c>
      <c r="E175" s="93">
        <f>E164-25</f>
        <v>659</v>
      </c>
      <c r="F175" s="61">
        <f>F165-25</f>
        <v>494.5</v>
      </c>
      <c r="G175" s="93">
        <f>G166-25</f>
        <v>488</v>
      </c>
      <c r="H175" s="62">
        <f>H167-25</f>
        <v>395.8</v>
      </c>
    </row>
    <row r="176" spans="1:8" ht="16.5" thickBot="1" x14ac:dyDescent="0.3">
      <c r="A176" s="23" t="str">
        <f t="shared" si="24"/>
        <v>Elegantбез шлегеляРазмер заполнения  зеркало/стекло  H, мм</v>
      </c>
      <c r="B176" s="64" t="s">
        <v>102</v>
      </c>
      <c r="C176" s="74" t="s">
        <v>34</v>
      </c>
      <c r="D176" s="95">
        <f>D162-60</f>
        <v>2400</v>
      </c>
      <c r="E176" s="96">
        <f>E162-60</f>
        <v>2400</v>
      </c>
      <c r="F176" s="66">
        <f>F162-60</f>
        <v>2400</v>
      </c>
      <c r="G176" s="96">
        <f>G162-60</f>
        <v>2400</v>
      </c>
      <c r="H176" s="67">
        <f>H162-60</f>
        <v>2400</v>
      </c>
    </row>
    <row r="177" spans="1:8" ht="15.75" thickBot="1" x14ac:dyDescent="0.3"/>
    <row r="178" spans="1:8" ht="15.75" thickBot="1" x14ac:dyDescent="0.3">
      <c r="B178" s="107" t="s">
        <v>9</v>
      </c>
      <c r="C178" s="116" t="s">
        <v>93</v>
      </c>
      <c r="D178" s="117"/>
      <c r="E178" s="117"/>
      <c r="F178" s="117"/>
      <c r="G178" s="117"/>
      <c r="H178" s="118"/>
    </row>
    <row r="179" spans="1:8" x14ac:dyDescent="0.25">
      <c r="B179" s="108"/>
      <c r="C179" s="110" t="s">
        <v>11</v>
      </c>
      <c r="D179" s="111"/>
      <c r="E179" s="111"/>
      <c r="F179" s="111"/>
      <c r="G179" s="111"/>
      <c r="H179" s="112"/>
    </row>
    <row r="180" spans="1:8" ht="15.75" thickBot="1" x14ac:dyDescent="0.3">
      <c r="B180" s="108"/>
      <c r="C180" s="75" t="s">
        <v>12</v>
      </c>
      <c r="D180" s="31" t="s">
        <v>13</v>
      </c>
      <c r="E180" s="31" t="s">
        <v>14</v>
      </c>
      <c r="F180" s="31" t="s">
        <v>50</v>
      </c>
      <c r="G180" s="31" t="s">
        <v>51</v>
      </c>
      <c r="H180" s="32" t="s">
        <v>16</v>
      </c>
    </row>
    <row r="181" spans="1:8" ht="18.75" x14ac:dyDescent="0.3">
      <c r="A181" s="23" t="str">
        <f>CONCATENATE($C$178,$C$179,B181)</f>
        <v>Elegantсо шлегелемВысота двери</v>
      </c>
      <c r="B181" s="33" t="s">
        <v>17</v>
      </c>
      <c r="C181" s="34" t="s">
        <v>18</v>
      </c>
      <c r="D181" s="35">
        <f>$B$3-40</f>
        <v>2460</v>
      </c>
      <c r="E181" s="36">
        <f t="shared" ref="E181:H181" si="26">$B$3-40</f>
        <v>2460</v>
      </c>
      <c r="F181" s="36">
        <f t="shared" si="26"/>
        <v>2460</v>
      </c>
      <c r="G181" s="36">
        <f t="shared" si="26"/>
        <v>2460</v>
      </c>
      <c r="H181" s="37">
        <f t="shared" si="26"/>
        <v>2460</v>
      </c>
    </row>
    <row r="182" spans="1:8" ht="18.75" x14ac:dyDescent="0.3">
      <c r="A182" s="23" t="str">
        <f t="shared" ref="A182:A195" si="27">CONCATENATE($C$178,$C$179,B182)</f>
        <v>Elegantсо шлегелемШирина двери (2 двери)                                           I-----____I</v>
      </c>
      <c r="B182" s="38" t="s">
        <v>112</v>
      </c>
      <c r="C182" s="39" t="s">
        <v>20</v>
      </c>
      <c r="D182" s="40">
        <f>($B$5+26-8)/2</f>
        <v>1009</v>
      </c>
      <c r="E182" s="41"/>
      <c r="F182" s="41"/>
      <c r="G182" s="41"/>
      <c r="H182" s="42"/>
    </row>
    <row r="183" spans="1:8" ht="18.75" x14ac:dyDescent="0.3">
      <c r="A183" s="23" t="str">
        <f t="shared" si="27"/>
        <v>Elegantсо шлегелемШирина двери (3 двери)                                    I-----____-----I</v>
      </c>
      <c r="B183" s="38" t="s">
        <v>111</v>
      </c>
      <c r="C183" s="39" t="s">
        <v>22</v>
      </c>
      <c r="D183" s="40"/>
      <c r="E183" s="41">
        <f>($B$5+26*2-8)/3</f>
        <v>681.33333333333337</v>
      </c>
      <c r="F183" s="41"/>
      <c r="G183" s="41"/>
      <c r="H183" s="42"/>
    </row>
    <row r="184" spans="1:8" ht="18.75" x14ac:dyDescent="0.3">
      <c r="A184" s="23" t="str">
        <f t="shared" si="27"/>
        <v>Elegantсо шлегелемШирина двери (4 двери) 1 вариант     I----- ____ -----____I</v>
      </c>
      <c r="B184" s="38" t="s">
        <v>109</v>
      </c>
      <c r="C184" s="39" t="s">
        <v>24</v>
      </c>
      <c r="D184" s="40"/>
      <c r="E184" s="41"/>
      <c r="F184" s="41">
        <f>($B$5+26*3-8)/4</f>
        <v>517.5</v>
      </c>
      <c r="G184" s="41"/>
      <c r="H184" s="42"/>
    </row>
    <row r="185" spans="1:8" ht="18.75" x14ac:dyDescent="0.3">
      <c r="A185" s="23" t="str">
        <f t="shared" si="27"/>
        <v>Elegantсо шлегелемШирина двери (4 двери) 2 вариант     I-----____  ____-----I</v>
      </c>
      <c r="B185" s="38" t="s">
        <v>108</v>
      </c>
      <c r="C185" s="39" t="s">
        <v>26</v>
      </c>
      <c r="D185" s="40"/>
      <c r="E185" s="41"/>
      <c r="F185" s="41"/>
      <c r="G185" s="41">
        <f>($B$5+26*2-8)/4</f>
        <v>511</v>
      </c>
      <c r="H185" s="42"/>
    </row>
    <row r="186" spans="1:8" ht="19.5" thickBot="1" x14ac:dyDescent="0.35">
      <c r="A186" s="23" t="str">
        <f t="shared" si="27"/>
        <v>Elegantсо шлегелемШирина двери (5 дверей)                  I-----____-----____-----I</v>
      </c>
      <c r="B186" s="43" t="s">
        <v>110</v>
      </c>
      <c r="C186" s="44" t="s">
        <v>28</v>
      </c>
      <c r="D186" s="45"/>
      <c r="E186" s="46"/>
      <c r="F186" s="46"/>
      <c r="G186" s="46"/>
      <c r="H186" s="47">
        <f>($B$5+26*4-8)/5</f>
        <v>419.2</v>
      </c>
    </row>
    <row r="187" spans="1:8" ht="15.75" thickBot="1" x14ac:dyDescent="0.3">
      <c r="A187" s="23" t="str">
        <f t="shared" si="27"/>
        <v>Elegantсо шлегелемРельс верхний, мм</v>
      </c>
      <c r="B187" s="48" t="s">
        <v>103</v>
      </c>
      <c r="C187" s="34" t="s">
        <v>115</v>
      </c>
      <c r="D187" s="49">
        <f>$B$5</f>
        <v>2000</v>
      </c>
      <c r="E187" s="49">
        <f t="shared" ref="E187:H188" si="28">$B$5</f>
        <v>2000</v>
      </c>
      <c r="F187" s="49">
        <f t="shared" si="28"/>
        <v>2000</v>
      </c>
      <c r="G187" s="49">
        <f t="shared" si="28"/>
        <v>2000</v>
      </c>
      <c r="H187" s="49">
        <f t="shared" si="28"/>
        <v>2000</v>
      </c>
    </row>
    <row r="188" spans="1:8" x14ac:dyDescent="0.25">
      <c r="A188" s="23" t="str">
        <f t="shared" si="27"/>
        <v>Elegantсо шлегелемРельс нижний, мм</v>
      </c>
      <c r="B188" s="50" t="s">
        <v>104</v>
      </c>
      <c r="C188" s="34" t="s">
        <v>115</v>
      </c>
      <c r="D188" s="49">
        <f>$B$5</f>
        <v>2000</v>
      </c>
      <c r="E188" s="49">
        <f t="shared" si="28"/>
        <v>2000</v>
      </c>
      <c r="F188" s="49">
        <f t="shared" si="28"/>
        <v>2000</v>
      </c>
      <c r="G188" s="49">
        <f t="shared" si="28"/>
        <v>2000</v>
      </c>
      <c r="H188" s="49">
        <f t="shared" si="28"/>
        <v>2000</v>
      </c>
    </row>
    <row r="189" spans="1:8" x14ac:dyDescent="0.25">
      <c r="A189" s="23" t="str">
        <f t="shared" si="27"/>
        <v>Elegantсо шлегелемГоризонт верхний, мм</v>
      </c>
      <c r="B189" s="50" t="s">
        <v>105</v>
      </c>
      <c r="C189" s="39" t="s">
        <v>134</v>
      </c>
      <c r="D189" s="51">
        <f>D182-37</f>
        <v>972</v>
      </c>
      <c r="E189" s="52">
        <f>E183-37</f>
        <v>644.33333333333337</v>
      </c>
      <c r="F189" s="52">
        <f>F184-37</f>
        <v>480.5</v>
      </c>
      <c r="G189" s="52">
        <f>G185-37</f>
        <v>474</v>
      </c>
      <c r="H189" s="53">
        <f>H186-37</f>
        <v>382.2</v>
      </c>
    </row>
    <row r="190" spans="1:8" x14ac:dyDescent="0.25">
      <c r="A190" s="23" t="str">
        <f t="shared" si="27"/>
        <v>Elegantсо шлегелемГоризонт нижний, мм</v>
      </c>
      <c r="B190" s="50" t="s">
        <v>106</v>
      </c>
      <c r="C190" s="39" t="s">
        <v>134</v>
      </c>
      <c r="D190" s="51">
        <f>D182-37</f>
        <v>972</v>
      </c>
      <c r="E190" s="52">
        <f>E183-37</f>
        <v>644.33333333333337</v>
      </c>
      <c r="F190" s="52">
        <f>F184-37</f>
        <v>480.5</v>
      </c>
      <c r="G190" s="52">
        <f>G185-37</f>
        <v>474</v>
      </c>
      <c r="H190" s="53">
        <f>H186-37</f>
        <v>382.2</v>
      </c>
    </row>
    <row r="191" spans="1:8" ht="15.75" thickBot="1" x14ac:dyDescent="0.3">
      <c r="A191" s="23" t="str">
        <f t="shared" si="27"/>
        <v>Elegantсо шлегелемСоединительный профиль, мм</v>
      </c>
      <c r="B191" s="54" t="s">
        <v>107</v>
      </c>
      <c r="C191" s="39" t="s">
        <v>134</v>
      </c>
      <c r="D191" s="51">
        <f>D182-37</f>
        <v>972</v>
      </c>
      <c r="E191" s="52">
        <f>E183-37</f>
        <v>644.33333333333337</v>
      </c>
      <c r="F191" s="52">
        <f>F184-37</f>
        <v>480.5</v>
      </c>
      <c r="G191" s="52">
        <f>G185-37</f>
        <v>474</v>
      </c>
      <c r="H191" s="53">
        <f>H186-37</f>
        <v>382.2</v>
      </c>
    </row>
    <row r="192" spans="1:8" ht="15.75" x14ac:dyDescent="0.25">
      <c r="A192" s="23" t="str">
        <f t="shared" si="27"/>
        <v>Elegantсо шлегелемРазмер заполнения ЛДСП   L, мм</v>
      </c>
      <c r="B192" s="55" t="s">
        <v>99</v>
      </c>
      <c r="C192" s="68" t="s">
        <v>135</v>
      </c>
      <c r="D192" s="69">
        <f>D182-23</f>
        <v>986</v>
      </c>
      <c r="E192" s="69">
        <f>E183-23</f>
        <v>658.33333333333337</v>
      </c>
      <c r="F192" s="69">
        <f>F184-23</f>
        <v>494.5</v>
      </c>
      <c r="G192" s="69">
        <f>G185-23</f>
        <v>488</v>
      </c>
      <c r="H192" s="69">
        <f>H186-23</f>
        <v>396.2</v>
      </c>
    </row>
    <row r="193" spans="1:8" ht="15.75" x14ac:dyDescent="0.25">
      <c r="A193" s="23" t="str">
        <f t="shared" si="27"/>
        <v>Elegantсо шлегелемРазмер заполнения ЛДСП   H, мм</v>
      </c>
      <c r="B193" s="59" t="s">
        <v>100</v>
      </c>
      <c r="C193" s="39" t="s">
        <v>32</v>
      </c>
      <c r="D193" s="60">
        <f>D181-58</f>
        <v>2402</v>
      </c>
      <c r="E193" s="61">
        <f>E181-58</f>
        <v>2402</v>
      </c>
      <c r="F193" s="61">
        <f>F181-58</f>
        <v>2402</v>
      </c>
      <c r="G193" s="61">
        <f>G181-58</f>
        <v>2402</v>
      </c>
      <c r="H193" s="62">
        <f>H181-58</f>
        <v>2402</v>
      </c>
    </row>
    <row r="194" spans="1:8" ht="15.75" x14ac:dyDescent="0.25">
      <c r="A194" s="23" t="str">
        <f t="shared" si="27"/>
        <v>Elegantсо шлегелемРазмер заполнения  зеркало/стекло  L, мм</v>
      </c>
      <c r="B194" s="63" t="s">
        <v>101</v>
      </c>
      <c r="C194" s="39" t="s">
        <v>136</v>
      </c>
      <c r="D194" s="60">
        <f>D182-25</f>
        <v>984</v>
      </c>
      <c r="E194" s="61">
        <f>E183-25</f>
        <v>656.33333333333337</v>
      </c>
      <c r="F194" s="61">
        <f>F184-25</f>
        <v>492.5</v>
      </c>
      <c r="G194" s="61">
        <f>G185-25</f>
        <v>486</v>
      </c>
      <c r="H194" s="62">
        <f>H186-25</f>
        <v>394.2</v>
      </c>
    </row>
    <row r="195" spans="1:8" ht="16.5" thickBot="1" x14ac:dyDescent="0.3">
      <c r="A195" s="23" t="str">
        <f t="shared" si="27"/>
        <v>Elegantсо шлегелемРазмер заполнения  зеркало/стекло  H, мм</v>
      </c>
      <c r="B195" s="64" t="s">
        <v>102</v>
      </c>
      <c r="C195" s="44" t="s">
        <v>34</v>
      </c>
      <c r="D195" s="65">
        <f>D181-60</f>
        <v>2400</v>
      </c>
      <c r="E195" s="66">
        <f>E181-60</f>
        <v>2400</v>
      </c>
      <c r="F195" s="66">
        <f>F181-60</f>
        <v>2400</v>
      </c>
      <c r="G195" s="66">
        <f>G181-60</f>
        <v>2400</v>
      </c>
      <c r="H195" s="67">
        <f>H181-60</f>
        <v>2400</v>
      </c>
    </row>
    <row r="196" spans="1:8" ht="15.75" thickBot="1" x14ac:dyDescent="0.3"/>
    <row r="197" spans="1:8" ht="15.75" thickBot="1" x14ac:dyDescent="0.3">
      <c r="B197" s="107" t="s">
        <v>9</v>
      </c>
      <c r="C197" s="116" t="s">
        <v>95</v>
      </c>
      <c r="D197" s="117"/>
      <c r="E197" s="117"/>
      <c r="F197" s="117"/>
      <c r="G197" s="117"/>
      <c r="H197" s="118"/>
    </row>
    <row r="198" spans="1:8" x14ac:dyDescent="0.25">
      <c r="B198" s="108"/>
      <c r="C198" s="110" t="s">
        <v>10</v>
      </c>
      <c r="D198" s="111"/>
      <c r="E198" s="111"/>
      <c r="F198" s="111"/>
      <c r="G198" s="111"/>
      <c r="H198" s="112"/>
    </row>
    <row r="199" spans="1:8" ht="15.75" thickBot="1" x14ac:dyDescent="0.3">
      <c r="B199" s="108"/>
      <c r="C199" s="30" t="s">
        <v>12</v>
      </c>
      <c r="D199" s="31" t="s">
        <v>13</v>
      </c>
      <c r="E199" s="31" t="s">
        <v>14</v>
      </c>
      <c r="F199" s="31" t="s">
        <v>50</v>
      </c>
      <c r="G199" s="31" t="s">
        <v>51</v>
      </c>
      <c r="H199" s="32" t="s">
        <v>16</v>
      </c>
    </row>
    <row r="200" spans="1:8" ht="18.75" x14ac:dyDescent="0.3">
      <c r="A200" s="23" t="str">
        <f>CONCATENATE($C$197,$C$198,B200)</f>
        <v>Elegant подвеснойбез шлегеляВысота двери</v>
      </c>
      <c r="B200" s="33" t="s">
        <v>17</v>
      </c>
      <c r="C200" s="72" t="s">
        <v>74</v>
      </c>
      <c r="D200" s="76">
        <f>$B$3-70</f>
        <v>2430</v>
      </c>
      <c r="E200" s="76">
        <f t="shared" ref="E200:H200" si="29">$B$3-70</f>
        <v>2430</v>
      </c>
      <c r="F200" s="76">
        <f t="shared" si="29"/>
        <v>2430</v>
      </c>
      <c r="G200" s="76">
        <f t="shared" si="29"/>
        <v>2430</v>
      </c>
      <c r="H200" s="76">
        <f t="shared" si="29"/>
        <v>2430</v>
      </c>
    </row>
    <row r="201" spans="1:8" ht="18.75" x14ac:dyDescent="0.3">
      <c r="A201" s="23" t="str">
        <f t="shared" ref="A201:A214" si="30">CONCATENATE($C$197,$C$198,B201)</f>
        <v>Elegant подвеснойбез шлегеляШирина двери (2 двери)                                           I-----____I</v>
      </c>
      <c r="B201" s="38" t="s">
        <v>112</v>
      </c>
      <c r="C201" s="73" t="s">
        <v>19</v>
      </c>
      <c r="D201" s="79">
        <f>($B$5+26)/2</f>
        <v>1013</v>
      </c>
      <c r="E201" s="80"/>
      <c r="F201" s="80"/>
      <c r="G201" s="80"/>
      <c r="H201" s="81"/>
    </row>
    <row r="202" spans="1:8" ht="18.75" x14ac:dyDescent="0.3">
      <c r="A202" s="23" t="str">
        <f t="shared" si="30"/>
        <v>Elegant подвеснойбез шлегеляШирина двери (3 двери)                                    I-----____-----I</v>
      </c>
      <c r="B202" s="38" t="s">
        <v>111</v>
      </c>
      <c r="C202" s="73" t="s">
        <v>21</v>
      </c>
      <c r="D202" s="79"/>
      <c r="E202" s="80">
        <f>($B$5+26*2)/3</f>
        <v>684</v>
      </c>
      <c r="F202" s="80"/>
      <c r="G202" s="80"/>
      <c r="H202" s="81"/>
    </row>
    <row r="203" spans="1:8" ht="18.75" x14ac:dyDescent="0.3">
      <c r="A203" s="23" t="str">
        <f t="shared" si="30"/>
        <v>Elegant подвеснойбез шлегеляШирина двери (4 двери) 1 вариант     I----- ____ -----____I</v>
      </c>
      <c r="B203" s="38" t="s">
        <v>109</v>
      </c>
      <c r="C203" s="73" t="s">
        <v>23</v>
      </c>
      <c r="D203" s="79"/>
      <c r="E203" s="80"/>
      <c r="F203" s="41">
        <f>($B$5+26*3)/4</f>
        <v>519.5</v>
      </c>
      <c r="G203" s="80"/>
      <c r="H203" s="81"/>
    </row>
    <row r="204" spans="1:8" ht="18.75" x14ac:dyDescent="0.3">
      <c r="A204" s="23" t="str">
        <f t="shared" si="30"/>
        <v>Elegant подвеснойбез шлегеляШирина двери (4 двери) 2 вариант     I-----____  ____-----I</v>
      </c>
      <c r="B204" s="38" t="s">
        <v>108</v>
      </c>
      <c r="C204" s="73" t="s">
        <v>25</v>
      </c>
      <c r="D204" s="79"/>
      <c r="E204" s="80"/>
      <c r="F204" s="80"/>
      <c r="G204" s="80">
        <f>($B$5+26*2)/4</f>
        <v>513</v>
      </c>
      <c r="H204" s="81"/>
    </row>
    <row r="205" spans="1:8" ht="19.5" thickBot="1" x14ac:dyDescent="0.35">
      <c r="A205" s="23" t="str">
        <f t="shared" si="30"/>
        <v>Elegant подвеснойбез шлегеляШирина двери (5 дверей)                  I-----____-----____-----I</v>
      </c>
      <c r="B205" s="43" t="s">
        <v>110</v>
      </c>
      <c r="C205" s="74" t="s">
        <v>27</v>
      </c>
      <c r="D205" s="83"/>
      <c r="E205" s="84"/>
      <c r="F205" s="84"/>
      <c r="G205" s="84"/>
      <c r="H205" s="47">
        <f>($B$5+26*4)/5</f>
        <v>420.8</v>
      </c>
    </row>
    <row r="206" spans="1:8" x14ac:dyDescent="0.25">
      <c r="A206" s="23" t="str">
        <f t="shared" si="30"/>
        <v>Elegant подвеснойбез шлегеляРельс верхний, мм</v>
      </c>
      <c r="B206" s="48" t="s">
        <v>103</v>
      </c>
      <c r="C206" s="72" t="s">
        <v>115</v>
      </c>
      <c r="D206" s="49">
        <f>$B$5</f>
        <v>2000</v>
      </c>
      <c r="E206" s="49">
        <f t="shared" ref="E206:H206" si="31">$B$5</f>
        <v>2000</v>
      </c>
      <c r="F206" s="49">
        <f t="shared" si="31"/>
        <v>2000</v>
      </c>
      <c r="G206" s="49">
        <f t="shared" si="31"/>
        <v>2000</v>
      </c>
      <c r="H206" s="49">
        <f t="shared" si="31"/>
        <v>2000</v>
      </c>
    </row>
    <row r="207" spans="1:8" x14ac:dyDescent="0.25">
      <c r="A207" s="23" t="str">
        <f t="shared" si="30"/>
        <v>Elegant подвеснойбез шлегеляРельс нижний, мм</v>
      </c>
      <c r="B207" s="50" t="s">
        <v>104</v>
      </c>
      <c r="C207" s="73"/>
      <c r="D207" s="49"/>
      <c r="E207" s="49"/>
      <c r="F207" s="49"/>
      <c r="G207" s="49"/>
      <c r="H207" s="49"/>
    </row>
    <row r="208" spans="1:8" x14ac:dyDescent="0.25">
      <c r="A208" s="23" t="str">
        <f t="shared" si="30"/>
        <v>Elegant подвеснойбез шлегеляГоризонт верхний, мм</v>
      </c>
      <c r="B208" s="50" t="s">
        <v>105</v>
      </c>
      <c r="C208" s="73" t="s">
        <v>73</v>
      </c>
      <c r="D208" s="86">
        <f>D201-38</f>
        <v>975</v>
      </c>
      <c r="E208" s="87">
        <f>E202-38</f>
        <v>646</v>
      </c>
      <c r="F208" s="52">
        <f>F203-38</f>
        <v>481.5</v>
      </c>
      <c r="G208" s="87">
        <f>G204-38</f>
        <v>475</v>
      </c>
      <c r="H208" s="53">
        <f>H205-38</f>
        <v>382.8</v>
      </c>
    </row>
    <row r="209" spans="1:8" x14ac:dyDescent="0.25">
      <c r="A209" s="23" t="str">
        <f t="shared" si="30"/>
        <v>Elegant подвеснойбез шлегеляГоризонт нижний, мм</v>
      </c>
      <c r="B209" s="50" t="s">
        <v>106</v>
      </c>
      <c r="C209" s="73" t="s">
        <v>73</v>
      </c>
      <c r="D209" s="86">
        <f>D201-38</f>
        <v>975</v>
      </c>
      <c r="E209" s="87">
        <f>E202-38</f>
        <v>646</v>
      </c>
      <c r="F209" s="52">
        <f>F203-38</f>
        <v>481.5</v>
      </c>
      <c r="G209" s="87">
        <f>G204-38</f>
        <v>475</v>
      </c>
      <c r="H209" s="53">
        <f>H205-38</f>
        <v>382.8</v>
      </c>
    </row>
    <row r="210" spans="1:8" ht="15.75" thickBot="1" x14ac:dyDescent="0.3">
      <c r="A210" s="23" t="str">
        <f t="shared" si="30"/>
        <v>Elegant подвеснойбез шлегеляСоединительный профиль, мм</v>
      </c>
      <c r="B210" s="54" t="s">
        <v>107</v>
      </c>
      <c r="C210" s="73" t="s">
        <v>73</v>
      </c>
      <c r="D210" s="86">
        <f>D201-38</f>
        <v>975</v>
      </c>
      <c r="E210" s="87">
        <f>E202-38</f>
        <v>646</v>
      </c>
      <c r="F210" s="52">
        <f>F203-38</f>
        <v>481.5</v>
      </c>
      <c r="G210" s="87">
        <f>G204-38</f>
        <v>475</v>
      </c>
      <c r="H210" s="53">
        <f>H205-38</f>
        <v>382.8</v>
      </c>
    </row>
    <row r="211" spans="1:8" ht="15.75" x14ac:dyDescent="0.25">
      <c r="A211" s="23" t="str">
        <f t="shared" si="30"/>
        <v>Elegant подвеснойбез шлегеляРазмер заполнения ЛДСП   L, мм</v>
      </c>
      <c r="B211" s="55" t="s">
        <v>99</v>
      </c>
      <c r="C211" s="72" t="s">
        <v>135</v>
      </c>
      <c r="D211" s="98">
        <f>D201-23</f>
        <v>990</v>
      </c>
      <c r="E211" s="99">
        <f>E202-23</f>
        <v>661</v>
      </c>
      <c r="F211" s="57">
        <f>F203-23</f>
        <v>496.5</v>
      </c>
      <c r="G211" s="99">
        <f>G204-23</f>
        <v>490</v>
      </c>
      <c r="H211" s="58">
        <f>H205-23</f>
        <v>397.8</v>
      </c>
    </row>
    <row r="212" spans="1:8" ht="15.75" x14ac:dyDescent="0.25">
      <c r="A212" s="23" t="str">
        <f t="shared" si="30"/>
        <v>Elegant подвеснойбез шлегеляРазмер заполнения ЛДСП   H, мм</v>
      </c>
      <c r="B212" s="59" t="s">
        <v>100</v>
      </c>
      <c r="C212" s="73" t="s">
        <v>75</v>
      </c>
      <c r="D212" s="92">
        <f>D200-67</f>
        <v>2363</v>
      </c>
      <c r="E212" s="93">
        <f>E200-67</f>
        <v>2363</v>
      </c>
      <c r="F212" s="61">
        <f>F200-67</f>
        <v>2363</v>
      </c>
      <c r="G212" s="93">
        <f>G200-67</f>
        <v>2363</v>
      </c>
      <c r="H212" s="62">
        <f>H200-67</f>
        <v>2363</v>
      </c>
    </row>
    <row r="213" spans="1:8" ht="15.75" x14ac:dyDescent="0.25">
      <c r="A213" s="23" t="str">
        <f t="shared" si="30"/>
        <v>Elegant подвеснойбез шлегеляРазмер заполнения  зеркало/стекло  L, мм</v>
      </c>
      <c r="B213" s="63" t="s">
        <v>101</v>
      </c>
      <c r="C213" s="73" t="s">
        <v>136</v>
      </c>
      <c r="D213" s="92">
        <f>D201-25</f>
        <v>988</v>
      </c>
      <c r="E213" s="93">
        <f>E202-25</f>
        <v>659</v>
      </c>
      <c r="F213" s="61">
        <f>F203-25</f>
        <v>494.5</v>
      </c>
      <c r="G213" s="93">
        <f>G204-25</f>
        <v>488</v>
      </c>
      <c r="H213" s="62">
        <f>H205-25</f>
        <v>395.8</v>
      </c>
    </row>
    <row r="214" spans="1:8" ht="16.5" thickBot="1" x14ac:dyDescent="0.3">
      <c r="A214" s="23" t="str">
        <f t="shared" si="30"/>
        <v>Elegant подвеснойбез шлегеляРазмер заполнения  зеркало/стекло  H, мм</v>
      </c>
      <c r="B214" s="64" t="s">
        <v>102</v>
      </c>
      <c r="C214" s="74" t="s">
        <v>76</v>
      </c>
      <c r="D214" s="95">
        <f>D200-69</f>
        <v>2361</v>
      </c>
      <c r="E214" s="95">
        <f t="shared" ref="E214:H214" si="32">E200-69</f>
        <v>2361</v>
      </c>
      <c r="F214" s="95">
        <f t="shared" si="32"/>
        <v>2361</v>
      </c>
      <c r="G214" s="95">
        <f t="shared" si="32"/>
        <v>2361</v>
      </c>
      <c r="H214" s="95">
        <f t="shared" si="32"/>
        <v>2361</v>
      </c>
    </row>
    <row r="215" spans="1:8" ht="15.75" thickBot="1" x14ac:dyDescent="0.3"/>
    <row r="216" spans="1:8" ht="15.75" thickBot="1" x14ac:dyDescent="0.3">
      <c r="B216" s="107" t="s">
        <v>9</v>
      </c>
      <c r="C216" s="116" t="s">
        <v>95</v>
      </c>
      <c r="D216" s="117"/>
      <c r="E216" s="117"/>
      <c r="F216" s="117"/>
      <c r="G216" s="117"/>
      <c r="H216" s="118"/>
    </row>
    <row r="217" spans="1:8" x14ac:dyDescent="0.25">
      <c r="B217" s="108"/>
      <c r="C217" s="110" t="s">
        <v>11</v>
      </c>
      <c r="D217" s="111"/>
      <c r="E217" s="111"/>
      <c r="F217" s="111"/>
      <c r="G217" s="111"/>
      <c r="H217" s="112"/>
    </row>
    <row r="218" spans="1:8" ht="15.75" thickBot="1" x14ac:dyDescent="0.3">
      <c r="B218" s="108"/>
      <c r="C218" s="75" t="s">
        <v>12</v>
      </c>
      <c r="D218" s="31" t="s">
        <v>13</v>
      </c>
      <c r="E218" s="31" t="s">
        <v>14</v>
      </c>
      <c r="F218" s="31" t="s">
        <v>50</v>
      </c>
      <c r="G218" s="31" t="s">
        <v>51</v>
      </c>
      <c r="H218" s="32" t="s">
        <v>16</v>
      </c>
    </row>
    <row r="219" spans="1:8" ht="18.75" x14ac:dyDescent="0.3">
      <c r="A219" s="23" t="str">
        <f>CONCATENATE($C$216,$C$217,B219)</f>
        <v>Elegant подвеснойсо шлегелемВысота двери</v>
      </c>
      <c r="B219" s="33" t="s">
        <v>17</v>
      </c>
      <c r="C219" s="34" t="s">
        <v>74</v>
      </c>
      <c r="D219" s="76">
        <f>$B$3-70</f>
        <v>2430</v>
      </c>
      <c r="E219" s="76">
        <f t="shared" ref="E219:H219" si="33">$B$3-70</f>
        <v>2430</v>
      </c>
      <c r="F219" s="76">
        <f t="shared" si="33"/>
        <v>2430</v>
      </c>
      <c r="G219" s="76">
        <f t="shared" si="33"/>
        <v>2430</v>
      </c>
      <c r="H219" s="76">
        <f t="shared" si="33"/>
        <v>2430</v>
      </c>
    </row>
    <row r="220" spans="1:8" ht="18.75" x14ac:dyDescent="0.3">
      <c r="A220" s="23" t="str">
        <f t="shared" ref="A220:A233" si="34">CONCATENATE($C$216,$C$217,B220)</f>
        <v>Elegant подвеснойсо шлегелемШирина двери (2 двери)                                           I-----____I</v>
      </c>
      <c r="B220" s="38" t="s">
        <v>112</v>
      </c>
      <c r="C220" s="39" t="s">
        <v>20</v>
      </c>
      <c r="D220" s="40">
        <f>($B$5+26-8)/2</f>
        <v>1009</v>
      </c>
      <c r="E220" s="41"/>
      <c r="F220" s="41"/>
      <c r="G220" s="41"/>
      <c r="H220" s="42"/>
    </row>
    <row r="221" spans="1:8" ht="18.75" x14ac:dyDescent="0.3">
      <c r="A221" s="23" t="str">
        <f t="shared" si="34"/>
        <v>Elegant подвеснойсо шлегелемШирина двери (3 двери)                                    I-----____-----I</v>
      </c>
      <c r="B221" s="38" t="s">
        <v>111</v>
      </c>
      <c r="C221" s="39" t="s">
        <v>22</v>
      </c>
      <c r="D221" s="40"/>
      <c r="E221" s="41">
        <f>($B$5+26*2-8)/3</f>
        <v>681.33333333333337</v>
      </c>
      <c r="F221" s="41"/>
      <c r="G221" s="41"/>
      <c r="H221" s="42"/>
    </row>
    <row r="222" spans="1:8" ht="18.75" x14ac:dyDescent="0.3">
      <c r="A222" s="23" t="str">
        <f t="shared" si="34"/>
        <v>Elegant подвеснойсо шлегелемШирина двери (4 двери) 1 вариант     I----- ____ -----____I</v>
      </c>
      <c r="B222" s="38" t="s">
        <v>109</v>
      </c>
      <c r="C222" s="39" t="s">
        <v>24</v>
      </c>
      <c r="D222" s="40"/>
      <c r="E222" s="41"/>
      <c r="F222" s="41">
        <f>($B$5+26*3-8)/4</f>
        <v>517.5</v>
      </c>
      <c r="G222" s="41"/>
      <c r="H222" s="42"/>
    </row>
    <row r="223" spans="1:8" ht="18.75" x14ac:dyDescent="0.3">
      <c r="A223" s="23" t="str">
        <f t="shared" si="34"/>
        <v>Elegant подвеснойсо шлегелемШирина двери (4 двери) 2 вариант     I-----____  ____-----I</v>
      </c>
      <c r="B223" s="38" t="s">
        <v>108</v>
      </c>
      <c r="C223" s="39" t="s">
        <v>26</v>
      </c>
      <c r="D223" s="40"/>
      <c r="E223" s="41"/>
      <c r="F223" s="41"/>
      <c r="G223" s="41">
        <f>($B$5+26*2-8)/4</f>
        <v>511</v>
      </c>
      <c r="H223" s="42"/>
    </row>
    <row r="224" spans="1:8" ht="19.5" thickBot="1" x14ac:dyDescent="0.35">
      <c r="A224" s="23" t="str">
        <f t="shared" si="34"/>
        <v>Elegant подвеснойсо шлегелемШирина двери (5 дверей)                  I-----____-----____-----I</v>
      </c>
      <c r="B224" s="43" t="s">
        <v>110</v>
      </c>
      <c r="C224" s="44" t="s">
        <v>28</v>
      </c>
      <c r="D224" s="45"/>
      <c r="E224" s="46"/>
      <c r="F224" s="46"/>
      <c r="G224" s="46"/>
      <c r="H224" s="47">
        <f>($B$5+26*4-8)/5</f>
        <v>419.2</v>
      </c>
    </row>
    <row r="225" spans="1:8" x14ac:dyDescent="0.25">
      <c r="A225" s="23" t="str">
        <f t="shared" si="34"/>
        <v>Elegant подвеснойсо шлегелемРельс верхний, мм</v>
      </c>
      <c r="B225" s="48" t="s">
        <v>103</v>
      </c>
      <c r="C225" s="34" t="s">
        <v>115</v>
      </c>
      <c r="D225" s="49">
        <f>$B$5</f>
        <v>2000</v>
      </c>
      <c r="E225" s="49">
        <f t="shared" ref="E225:H225" si="35">$B$5</f>
        <v>2000</v>
      </c>
      <c r="F225" s="49">
        <f t="shared" si="35"/>
        <v>2000</v>
      </c>
      <c r="G225" s="49">
        <f t="shared" si="35"/>
        <v>2000</v>
      </c>
      <c r="H225" s="49">
        <f t="shared" si="35"/>
        <v>2000</v>
      </c>
    </row>
    <row r="226" spans="1:8" x14ac:dyDescent="0.25">
      <c r="A226" s="23" t="str">
        <f t="shared" si="34"/>
        <v>Elegant подвеснойсо шлегелемРельс нижний, мм</v>
      </c>
      <c r="B226" s="50" t="s">
        <v>104</v>
      </c>
      <c r="C226" s="39"/>
      <c r="D226" s="51"/>
      <c r="E226" s="52"/>
      <c r="F226" s="52"/>
      <c r="G226" s="52"/>
      <c r="H226" s="53"/>
    </row>
    <row r="227" spans="1:8" x14ac:dyDescent="0.25">
      <c r="A227" s="23" t="str">
        <f t="shared" si="34"/>
        <v>Elegant подвеснойсо шлегелемГоризонт верхний, мм</v>
      </c>
      <c r="B227" s="50" t="s">
        <v>105</v>
      </c>
      <c r="C227" s="39" t="s">
        <v>73</v>
      </c>
      <c r="D227" s="51">
        <f>D220-38</f>
        <v>971</v>
      </c>
      <c r="E227" s="52">
        <f>E221-38</f>
        <v>643.33333333333337</v>
      </c>
      <c r="F227" s="52">
        <f>F222-38</f>
        <v>479.5</v>
      </c>
      <c r="G227" s="52">
        <f>G223-38</f>
        <v>473</v>
      </c>
      <c r="H227" s="53">
        <f>H224-38</f>
        <v>381.2</v>
      </c>
    </row>
    <row r="228" spans="1:8" x14ac:dyDescent="0.25">
      <c r="A228" s="23" t="str">
        <f t="shared" si="34"/>
        <v>Elegant подвеснойсо шлегелемГоризонт нижний, мм</v>
      </c>
      <c r="B228" s="50" t="s">
        <v>106</v>
      </c>
      <c r="C228" s="39" t="s">
        <v>30</v>
      </c>
      <c r="D228" s="51">
        <f>D220-38</f>
        <v>971</v>
      </c>
      <c r="E228" s="52">
        <f>E221-38</f>
        <v>643.33333333333337</v>
      </c>
      <c r="F228" s="52">
        <f>F222-38</f>
        <v>479.5</v>
      </c>
      <c r="G228" s="52">
        <f>G223-38</f>
        <v>473</v>
      </c>
      <c r="H228" s="53">
        <f>H224-38</f>
        <v>381.2</v>
      </c>
    </row>
    <row r="229" spans="1:8" ht="15.75" thickBot="1" x14ac:dyDescent="0.3">
      <c r="A229" s="23" t="str">
        <f t="shared" si="34"/>
        <v>Elegant подвеснойсо шлегелемСоединительный профиль, мм</v>
      </c>
      <c r="B229" s="54" t="s">
        <v>107</v>
      </c>
      <c r="C229" s="44" t="s">
        <v>30</v>
      </c>
      <c r="D229" s="51">
        <f>D220-38</f>
        <v>971</v>
      </c>
      <c r="E229" s="52">
        <f>E221-38</f>
        <v>643.33333333333337</v>
      </c>
      <c r="F229" s="52">
        <f>F222-38</f>
        <v>479.5</v>
      </c>
      <c r="G229" s="52">
        <f>G223-38</f>
        <v>473</v>
      </c>
      <c r="H229" s="53">
        <f>H224-38</f>
        <v>381.2</v>
      </c>
    </row>
    <row r="230" spans="1:8" ht="15.75" x14ac:dyDescent="0.25">
      <c r="A230" s="23" t="str">
        <f t="shared" si="34"/>
        <v>Elegant подвеснойсо шлегелемРазмер заполнения ЛДСП   L, мм</v>
      </c>
      <c r="B230" s="55" t="s">
        <v>99</v>
      </c>
      <c r="C230" s="68" t="s">
        <v>135</v>
      </c>
      <c r="D230" s="69">
        <f>D220-23</f>
        <v>986</v>
      </c>
      <c r="E230" s="70">
        <f>E221-23</f>
        <v>658.33333333333337</v>
      </c>
      <c r="F230" s="70">
        <f>F222-23</f>
        <v>494.5</v>
      </c>
      <c r="G230" s="70">
        <f>G223-23</f>
        <v>488</v>
      </c>
      <c r="H230" s="71">
        <f>H224-23</f>
        <v>396.2</v>
      </c>
    </row>
    <row r="231" spans="1:8" ht="15.75" x14ac:dyDescent="0.25">
      <c r="A231" s="23" t="str">
        <f t="shared" si="34"/>
        <v>Elegant подвеснойсо шлегелемРазмер заполнения ЛДСП   H, мм</v>
      </c>
      <c r="B231" s="59" t="s">
        <v>100</v>
      </c>
      <c r="C231" s="39" t="s">
        <v>75</v>
      </c>
      <c r="D231" s="60">
        <f>D219-67</f>
        <v>2363</v>
      </c>
      <c r="E231" s="61">
        <f>E219-67</f>
        <v>2363</v>
      </c>
      <c r="F231" s="61">
        <f>F219-67</f>
        <v>2363</v>
      </c>
      <c r="G231" s="61">
        <f>G219-67</f>
        <v>2363</v>
      </c>
      <c r="H231" s="62">
        <f>H219-67</f>
        <v>2363</v>
      </c>
    </row>
    <row r="232" spans="1:8" ht="15.75" x14ac:dyDescent="0.25">
      <c r="A232" s="23" t="str">
        <f t="shared" si="34"/>
        <v>Elegant подвеснойсо шлегелемРазмер заполнения  зеркало/стекло  L, мм</v>
      </c>
      <c r="B232" s="63" t="s">
        <v>101</v>
      </c>
      <c r="C232" s="39" t="s">
        <v>136</v>
      </c>
      <c r="D232" s="60">
        <f>D220-25</f>
        <v>984</v>
      </c>
      <c r="E232" s="61">
        <f>E221-25</f>
        <v>656.33333333333337</v>
      </c>
      <c r="F232" s="61">
        <f>F222-25</f>
        <v>492.5</v>
      </c>
      <c r="G232" s="61">
        <f>G223-25</f>
        <v>486</v>
      </c>
      <c r="H232" s="62">
        <f>H224-25</f>
        <v>394.2</v>
      </c>
    </row>
    <row r="233" spans="1:8" ht="16.5" thickBot="1" x14ac:dyDescent="0.3">
      <c r="A233" s="23" t="str">
        <f t="shared" si="34"/>
        <v>Elegant подвеснойсо шлегелемРазмер заполнения  зеркало/стекло  H, мм</v>
      </c>
      <c r="B233" s="64" t="s">
        <v>102</v>
      </c>
      <c r="C233" s="44" t="s">
        <v>76</v>
      </c>
      <c r="D233" s="65">
        <f>D219-69</f>
        <v>2361</v>
      </c>
      <c r="E233" s="66">
        <f>E219-69</f>
        <v>2361</v>
      </c>
      <c r="F233" s="66">
        <f>F219-69</f>
        <v>2361</v>
      </c>
      <c r="G233" s="66">
        <f>G219-69</f>
        <v>2361</v>
      </c>
      <c r="H233" s="67">
        <f>H219-69</f>
        <v>2361</v>
      </c>
    </row>
    <row r="234" spans="1:8" ht="15.75" thickBot="1" x14ac:dyDescent="0.3"/>
    <row r="235" spans="1:8" x14ac:dyDescent="0.25">
      <c r="B235" s="107" t="s">
        <v>9</v>
      </c>
      <c r="C235" s="110" t="s">
        <v>96</v>
      </c>
      <c r="D235" s="111"/>
      <c r="E235" s="111"/>
      <c r="F235" s="111"/>
      <c r="G235" s="111"/>
      <c r="H235" s="112"/>
    </row>
    <row r="236" spans="1:8" x14ac:dyDescent="0.25">
      <c r="B236" s="108"/>
      <c r="C236" s="113" t="s">
        <v>10</v>
      </c>
      <c r="D236" s="114"/>
      <c r="E236" s="114"/>
      <c r="F236" s="114"/>
      <c r="G236" s="114"/>
      <c r="H236" s="115"/>
    </row>
    <row r="237" spans="1:8" ht="15.75" thickBot="1" x14ac:dyDescent="0.3">
      <c r="B237" s="108"/>
      <c r="C237" s="100" t="s">
        <v>12</v>
      </c>
      <c r="D237" s="101" t="s">
        <v>13</v>
      </c>
      <c r="E237" s="101" t="s">
        <v>14</v>
      </c>
      <c r="F237" s="31" t="s">
        <v>50</v>
      </c>
      <c r="G237" s="31" t="s">
        <v>51</v>
      </c>
      <c r="H237" s="102" t="s">
        <v>16</v>
      </c>
    </row>
    <row r="238" spans="1:8" ht="18.75" x14ac:dyDescent="0.3">
      <c r="A238" s="23" t="str">
        <f>CONCATENATE($C$235,$C$236,B238)</f>
        <v>Quattro подвеснойбез шлегеляВысота двери</v>
      </c>
      <c r="B238" s="33" t="s">
        <v>17</v>
      </c>
      <c r="C238" s="72" t="s">
        <v>74</v>
      </c>
      <c r="D238" s="35">
        <f>$B$3-70</f>
        <v>2430</v>
      </c>
      <c r="E238" s="35">
        <f t="shared" ref="E238:H238" si="36">$B$3-70</f>
        <v>2430</v>
      </c>
      <c r="F238" s="35">
        <f t="shared" si="36"/>
        <v>2430</v>
      </c>
      <c r="G238" s="35">
        <f t="shared" si="36"/>
        <v>2430</v>
      </c>
      <c r="H238" s="35">
        <f t="shared" si="36"/>
        <v>2430</v>
      </c>
    </row>
    <row r="239" spans="1:8" ht="18.75" x14ac:dyDescent="0.3">
      <c r="A239" s="23" t="str">
        <f t="shared" ref="A239:A252" si="37">CONCATENATE($C$235,$C$236,B239)</f>
        <v>Quattro подвеснойбез шлегеляШирина двери (2 двери)                                           I-----____I</v>
      </c>
      <c r="B239" s="38" t="s">
        <v>112</v>
      </c>
      <c r="C239" s="73" t="s">
        <v>52</v>
      </c>
      <c r="D239" s="40">
        <f>($B$5+40)/2</f>
        <v>1020</v>
      </c>
      <c r="E239" s="41"/>
      <c r="F239" s="41"/>
      <c r="G239" s="41"/>
      <c r="H239" s="42"/>
    </row>
    <row r="240" spans="1:8" ht="18.75" x14ac:dyDescent="0.3">
      <c r="A240" s="23" t="str">
        <f t="shared" si="37"/>
        <v>Quattro подвеснойбез шлегеляШирина двери (3 двери)                                    I-----____-----I</v>
      </c>
      <c r="B240" s="38" t="s">
        <v>111</v>
      </c>
      <c r="C240" s="73" t="s">
        <v>53</v>
      </c>
      <c r="D240" s="40"/>
      <c r="E240" s="41">
        <f>($B$5+40*2)/3</f>
        <v>693.33333333333337</v>
      </c>
      <c r="F240" s="41"/>
      <c r="G240" s="41"/>
      <c r="H240" s="42"/>
    </row>
    <row r="241" spans="1:8" ht="18.75" x14ac:dyDescent="0.3">
      <c r="A241" s="23" t="str">
        <f t="shared" si="37"/>
        <v>Quattro подвеснойбез шлегеляШирина двери (4 двери) 1 вариант     I----- ____ -----____I</v>
      </c>
      <c r="B241" s="38" t="s">
        <v>109</v>
      </c>
      <c r="C241" s="73" t="s">
        <v>54</v>
      </c>
      <c r="D241" s="40"/>
      <c r="E241" s="41"/>
      <c r="F241" s="41">
        <f>($B$5+40*3)/4</f>
        <v>530</v>
      </c>
      <c r="G241" s="41"/>
      <c r="H241" s="42"/>
    </row>
    <row r="242" spans="1:8" ht="18.75" x14ac:dyDescent="0.3">
      <c r="A242" s="23" t="str">
        <f t="shared" si="37"/>
        <v>Quattro подвеснойбез шлегеляШирина двери (4 двери) 2 вариант     I-----____  ____-----I</v>
      </c>
      <c r="B242" s="38" t="s">
        <v>108</v>
      </c>
      <c r="C242" s="73" t="s">
        <v>55</v>
      </c>
      <c r="D242" s="40"/>
      <c r="E242" s="41"/>
      <c r="F242" s="41"/>
      <c r="G242" s="41">
        <f>($B$5+40*2)/4</f>
        <v>520</v>
      </c>
      <c r="H242" s="42"/>
    </row>
    <row r="243" spans="1:8" ht="19.5" thickBot="1" x14ac:dyDescent="0.35">
      <c r="A243" s="23" t="str">
        <f t="shared" si="37"/>
        <v>Quattro подвеснойбез шлегеляШирина двери (5 дверей)                  I-----____-----____-----I</v>
      </c>
      <c r="B243" s="43" t="s">
        <v>110</v>
      </c>
      <c r="C243" s="74" t="s">
        <v>56</v>
      </c>
      <c r="D243" s="45"/>
      <c r="E243" s="46"/>
      <c r="F243" s="46"/>
      <c r="G243" s="46"/>
      <c r="H243" s="47">
        <f>($B$5+40*4)/5</f>
        <v>432</v>
      </c>
    </row>
    <row r="244" spans="1:8" x14ac:dyDescent="0.25">
      <c r="A244" s="23" t="str">
        <f t="shared" si="37"/>
        <v>Quattro подвеснойбез шлегеляРельс верхний, мм</v>
      </c>
      <c r="B244" s="48" t="s">
        <v>103</v>
      </c>
      <c r="C244" s="72" t="s">
        <v>115</v>
      </c>
      <c r="D244" s="49">
        <f>$B$5</f>
        <v>2000</v>
      </c>
      <c r="E244" s="49">
        <f t="shared" ref="E244:H244" si="38">$B$5</f>
        <v>2000</v>
      </c>
      <c r="F244" s="49">
        <f t="shared" si="38"/>
        <v>2000</v>
      </c>
      <c r="G244" s="49">
        <f t="shared" si="38"/>
        <v>2000</v>
      </c>
      <c r="H244" s="49">
        <f t="shared" si="38"/>
        <v>2000</v>
      </c>
    </row>
    <row r="245" spans="1:8" x14ac:dyDescent="0.25">
      <c r="A245" s="23" t="str">
        <f t="shared" si="37"/>
        <v>Quattro подвеснойбез шлегеляРельс нижний, мм</v>
      </c>
      <c r="B245" s="50" t="s">
        <v>104</v>
      </c>
      <c r="C245" s="73"/>
      <c r="D245" s="51"/>
      <c r="E245" s="52"/>
      <c r="F245" s="52"/>
      <c r="G245" s="52"/>
      <c r="H245" s="53"/>
    </row>
    <row r="246" spans="1:8" x14ac:dyDescent="0.25">
      <c r="A246" s="23" t="str">
        <f t="shared" si="37"/>
        <v>Quattro подвеснойбез шлегеляГоризонт верхний, мм</v>
      </c>
      <c r="B246" s="50" t="s">
        <v>105</v>
      </c>
      <c r="C246" s="73" t="s">
        <v>137</v>
      </c>
      <c r="D246" s="51">
        <f>D239-77</f>
        <v>943</v>
      </c>
      <c r="E246" s="52">
        <f>E240-77</f>
        <v>616.33333333333337</v>
      </c>
      <c r="F246" s="52">
        <f>F241-77</f>
        <v>453</v>
      </c>
      <c r="G246" s="52">
        <f>G242-77</f>
        <v>443</v>
      </c>
      <c r="H246" s="53">
        <f>H243-77</f>
        <v>355</v>
      </c>
    </row>
    <row r="247" spans="1:8" x14ac:dyDescent="0.25">
      <c r="A247" s="23" t="str">
        <f t="shared" si="37"/>
        <v>Quattro подвеснойбез шлегеляГоризонт нижний, мм</v>
      </c>
      <c r="B247" s="50" t="s">
        <v>106</v>
      </c>
      <c r="C247" s="73" t="s">
        <v>30</v>
      </c>
      <c r="D247" s="51">
        <f>D239-77</f>
        <v>943</v>
      </c>
      <c r="E247" s="52">
        <f>E240-77</f>
        <v>616.33333333333337</v>
      </c>
      <c r="F247" s="52">
        <f>F241-77</f>
        <v>453</v>
      </c>
      <c r="G247" s="52">
        <f>G242-77</f>
        <v>443</v>
      </c>
      <c r="H247" s="53">
        <f>H243-77</f>
        <v>355</v>
      </c>
    </row>
    <row r="248" spans="1:8" ht="15.75" thickBot="1" x14ac:dyDescent="0.3">
      <c r="A248" s="23" t="str">
        <f t="shared" si="37"/>
        <v>Quattro подвеснойбез шлегеляСоединительный профиль, мм</v>
      </c>
      <c r="B248" s="54" t="s">
        <v>107</v>
      </c>
      <c r="C248" s="74" t="s">
        <v>30</v>
      </c>
      <c r="D248" s="51">
        <f>D239-77</f>
        <v>943</v>
      </c>
      <c r="E248" s="52">
        <f>E240-77</f>
        <v>616.33333333333337</v>
      </c>
      <c r="F248" s="52">
        <f>F241-77</f>
        <v>453</v>
      </c>
      <c r="G248" s="52">
        <f>G242-77</f>
        <v>443</v>
      </c>
      <c r="H248" s="53">
        <f>H243-77</f>
        <v>355</v>
      </c>
    </row>
    <row r="249" spans="1:8" ht="15.75" x14ac:dyDescent="0.25">
      <c r="A249" s="23" t="str">
        <f t="shared" si="37"/>
        <v>Quattro подвеснойбез шлегеляРазмер заполнения ЛДСП   L, мм</v>
      </c>
      <c r="B249" s="55" t="s">
        <v>99</v>
      </c>
      <c r="C249" s="72" t="s">
        <v>132</v>
      </c>
      <c r="D249" s="56">
        <f>D239-61</f>
        <v>959</v>
      </c>
      <c r="E249" s="57">
        <f>E240-61</f>
        <v>632.33333333333337</v>
      </c>
      <c r="F249" s="57">
        <f>F241-61</f>
        <v>469</v>
      </c>
      <c r="G249" s="57">
        <f>G242-61</f>
        <v>459</v>
      </c>
      <c r="H249" s="58">
        <f>H243-61</f>
        <v>371</v>
      </c>
    </row>
    <row r="250" spans="1:8" ht="15.75" x14ac:dyDescent="0.25">
      <c r="A250" s="23" t="str">
        <f t="shared" si="37"/>
        <v>Quattro подвеснойбез шлегеляРазмер заполнения ЛДСП   H, мм</v>
      </c>
      <c r="B250" s="59" t="s">
        <v>100</v>
      </c>
      <c r="C250" s="73" t="s">
        <v>75</v>
      </c>
      <c r="D250" s="60">
        <f>D238-67</f>
        <v>2363</v>
      </c>
      <c r="E250" s="60">
        <f t="shared" ref="E250:H250" si="39">E238-67</f>
        <v>2363</v>
      </c>
      <c r="F250" s="60">
        <f t="shared" si="39"/>
        <v>2363</v>
      </c>
      <c r="G250" s="60">
        <f t="shared" si="39"/>
        <v>2363</v>
      </c>
      <c r="H250" s="60">
        <f t="shared" si="39"/>
        <v>2363</v>
      </c>
    </row>
    <row r="251" spans="1:8" ht="15.75" x14ac:dyDescent="0.25">
      <c r="A251" s="23" t="str">
        <f t="shared" si="37"/>
        <v>Quattro подвеснойбез шлегеляРазмер заполнения  зеркало/стекло  L, мм</v>
      </c>
      <c r="B251" s="63" t="s">
        <v>101</v>
      </c>
      <c r="C251" s="39" t="s">
        <v>133</v>
      </c>
      <c r="D251" s="60">
        <f>D239-63</f>
        <v>957</v>
      </c>
      <c r="E251" s="61">
        <f>E240-63</f>
        <v>630.33333333333337</v>
      </c>
      <c r="F251" s="61">
        <f>F241-63</f>
        <v>467</v>
      </c>
      <c r="G251" s="61">
        <f>G242-63</f>
        <v>457</v>
      </c>
      <c r="H251" s="62">
        <f>H243-63</f>
        <v>369</v>
      </c>
    </row>
    <row r="252" spans="1:8" ht="16.5" thickBot="1" x14ac:dyDescent="0.3">
      <c r="A252" s="23" t="str">
        <f t="shared" si="37"/>
        <v>Quattro подвеснойбез шлегеляРазмер заполнения  зеркало/стекло  H, мм</v>
      </c>
      <c r="B252" s="64" t="s">
        <v>102</v>
      </c>
      <c r="C252" s="74" t="s">
        <v>76</v>
      </c>
      <c r="D252" s="65">
        <f>D238-69</f>
        <v>2361</v>
      </c>
      <c r="E252" s="66">
        <f>E238-69</f>
        <v>2361</v>
      </c>
      <c r="F252" s="66">
        <f>F238-69</f>
        <v>2361</v>
      </c>
      <c r="G252" s="66">
        <f>G238-69</f>
        <v>2361</v>
      </c>
      <c r="H252" s="67">
        <f>H238-69</f>
        <v>2361</v>
      </c>
    </row>
    <row r="253" spans="1:8" ht="15.75" thickBot="1" x14ac:dyDescent="0.3"/>
    <row r="254" spans="1:8" x14ac:dyDescent="0.25">
      <c r="B254" s="107" t="s">
        <v>9</v>
      </c>
      <c r="C254" s="110" t="s">
        <v>96</v>
      </c>
      <c r="D254" s="111"/>
      <c r="E254" s="111"/>
      <c r="F254" s="111"/>
      <c r="G254" s="111"/>
      <c r="H254" s="112"/>
    </row>
    <row r="255" spans="1:8" x14ac:dyDescent="0.25">
      <c r="B255" s="108"/>
      <c r="C255" s="113" t="s">
        <v>11</v>
      </c>
      <c r="D255" s="114"/>
      <c r="E255" s="114"/>
      <c r="F255" s="114"/>
      <c r="G255" s="114"/>
      <c r="H255" s="115"/>
    </row>
    <row r="256" spans="1:8" ht="15.75" thickBot="1" x14ac:dyDescent="0.3">
      <c r="B256" s="108"/>
      <c r="C256" s="100" t="s">
        <v>12</v>
      </c>
      <c r="D256" s="101" t="s">
        <v>13</v>
      </c>
      <c r="E256" s="101" t="s">
        <v>14</v>
      </c>
      <c r="F256" s="31" t="s">
        <v>50</v>
      </c>
      <c r="G256" s="31" t="s">
        <v>51</v>
      </c>
      <c r="H256" s="102" t="s">
        <v>16</v>
      </c>
    </row>
    <row r="257" spans="1:8" ht="18.75" x14ac:dyDescent="0.3">
      <c r="A257" s="23" t="str">
        <f>CONCATENATE($C$254,$C$255,B257)</f>
        <v>Quattro подвеснойсо шлегелемВысота двери</v>
      </c>
      <c r="B257" s="33" t="s">
        <v>17</v>
      </c>
      <c r="C257" s="34" t="s">
        <v>74</v>
      </c>
      <c r="D257" s="35">
        <f>$B$3-70</f>
        <v>2430</v>
      </c>
      <c r="E257" s="35">
        <f t="shared" ref="E257:H257" si="40">$B$3-70</f>
        <v>2430</v>
      </c>
      <c r="F257" s="35">
        <f t="shared" si="40"/>
        <v>2430</v>
      </c>
      <c r="G257" s="35">
        <f t="shared" si="40"/>
        <v>2430</v>
      </c>
      <c r="H257" s="35">
        <f t="shared" si="40"/>
        <v>2430</v>
      </c>
    </row>
    <row r="258" spans="1:8" ht="18.75" x14ac:dyDescent="0.3">
      <c r="A258" s="23" t="str">
        <f t="shared" ref="A258:A271" si="41">CONCATENATE($C$254,$C$255,B258)</f>
        <v>Quattro подвеснойсо шлегелемШирина двери (2 двери)                                           I-----____I</v>
      </c>
      <c r="B258" s="38" t="s">
        <v>112</v>
      </c>
      <c r="C258" s="39" t="s">
        <v>58</v>
      </c>
      <c r="D258" s="40">
        <f>($B$5+40-8)/2</f>
        <v>1016</v>
      </c>
      <c r="E258" s="41"/>
      <c r="F258" s="41"/>
      <c r="G258" s="41"/>
      <c r="H258" s="42"/>
    </row>
    <row r="259" spans="1:8" ht="18.75" x14ac:dyDescent="0.3">
      <c r="A259" s="23" t="str">
        <f t="shared" si="41"/>
        <v>Quattro подвеснойсо шлегелемШирина двери (3 двери)                                    I-----____-----I</v>
      </c>
      <c r="B259" s="38" t="s">
        <v>111</v>
      </c>
      <c r="C259" s="39" t="s">
        <v>59</v>
      </c>
      <c r="D259" s="40"/>
      <c r="E259" s="41">
        <f>($B$5+40*2-8)/3</f>
        <v>690.66666666666663</v>
      </c>
      <c r="F259" s="41"/>
      <c r="G259" s="41"/>
      <c r="H259" s="42"/>
    </row>
    <row r="260" spans="1:8" ht="18.75" x14ac:dyDescent="0.3">
      <c r="A260" s="23" t="str">
        <f t="shared" si="41"/>
        <v>Quattro подвеснойсо шлегелемШирина двери (4 двери) 1 вариант     I----- ____ -----____I</v>
      </c>
      <c r="B260" s="38" t="s">
        <v>109</v>
      </c>
      <c r="C260" s="39" t="s">
        <v>60</v>
      </c>
      <c r="D260" s="40"/>
      <c r="E260" s="41"/>
      <c r="F260" s="41">
        <f>($B$5+40*3-8)/4</f>
        <v>528</v>
      </c>
      <c r="G260" s="41"/>
      <c r="H260" s="42"/>
    </row>
    <row r="261" spans="1:8" ht="18.75" x14ac:dyDescent="0.3">
      <c r="A261" s="23" t="str">
        <f t="shared" si="41"/>
        <v>Quattro подвеснойсо шлегелемШирина двери (4 двери) 2 вариант     I-----____  ____-----I</v>
      </c>
      <c r="B261" s="38" t="s">
        <v>108</v>
      </c>
      <c r="C261" s="39" t="s">
        <v>61</v>
      </c>
      <c r="D261" s="40"/>
      <c r="E261" s="41"/>
      <c r="F261" s="41"/>
      <c r="G261" s="41">
        <f>($B$5+40*2-8)/4</f>
        <v>518</v>
      </c>
      <c r="H261" s="42"/>
    </row>
    <row r="262" spans="1:8" ht="19.5" thickBot="1" x14ac:dyDescent="0.35">
      <c r="A262" s="23" t="str">
        <f t="shared" si="41"/>
        <v>Quattro подвеснойсо шлегелемШирина двери (5 дверей)                  I-----____-----____-----I</v>
      </c>
      <c r="B262" s="43" t="s">
        <v>110</v>
      </c>
      <c r="C262" s="44" t="s">
        <v>62</v>
      </c>
      <c r="D262" s="45"/>
      <c r="E262" s="46"/>
      <c r="F262" s="46"/>
      <c r="G262" s="46"/>
      <c r="H262" s="47">
        <f>($B$5+40*4-8)/5</f>
        <v>430.4</v>
      </c>
    </row>
    <row r="263" spans="1:8" x14ac:dyDescent="0.25">
      <c r="A263" s="23" t="str">
        <f t="shared" si="41"/>
        <v>Quattro подвеснойсо шлегелемРельс верхний, мм</v>
      </c>
      <c r="B263" s="48" t="s">
        <v>103</v>
      </c>
      <c r="C263" s="34" t="s">
        <v>115</v>
      </c>
      <c r="D263" s="49">
        <f>$B$5</f>
        <v>2000</v>
      </c>
      <c r="E263" s="49">
        <f t="shared" ref="E263:H263" si="42">$B$5</f>
        <v>2000</v>
      </c>
      <c r="F263" s="49">
        <f t="shared" si="42"/>
        <v>2000</v>
      </c>
      <c r="G263" s="49">
        <f t="shared" si="42"/>
        <v>2000</v>
      </c>
      <c r="H263" s="49">
        <f t="shared" si="42"/>
        <v>2000</v>
      </c>
    </row>
    <row r="264" spans="1:8" x14ac:dyDescent="0.25">
      <c r="A264" s="23" t="str">
        <f t="shared" si="41"/>
        <v>Quattro подвеснойсо шлегелемРельс нижний, мм</v>
      </c>
      <c r="B264" s="50" t="s">
        <v>104</v>
      </c>
      <c r="C264" s="39"/>
      <c r="D264" s="51"/>
      <c r="E264" s="52"/>
      <c r="F264" s="52"/>
      <c r="G264" s="52"/>
      <c r="H264" s="53"/>
    </row>
    <row r="265" spans="1:8" x14ac:dyDescent="0.25">
      <c r="A265" s="23" t="str">
        <f t="shared" si="41"/>
        <v>Quattro подвеснойсо шлегелемГоризонт верхний, мм</v>
      </c>
      <c r="B265" s="50" t="s">
        <v>105</v>
      </c>
      <c r="C265" s="39" t="s">
        <v>137</v>
      </c>
      <c r="D265" s="51">
        <f>D258-77</f>
        <v>939</v>
      </c>
      <c r="E265" s="52">
        <f>E259-77</f>
        <v>613.66666666666663</v>
      </c>
      <c r="F265" s="52">
        <f>F260-77</f>
        <v>451</v>
      </c>
      <c r="G265" s="52">
        <f>G261-77</f>
        <v>441</v>
      </c>
      <c r="H265" s="53">
        <f>H262-77</f>
        <v>353.4</v>
      </c>
    </row>
    <row r="266" spans="1:8" x14ac:dyDescent="0.25">
      <c r="A266" s="23" t="str">
        <f t="shared" si="41"/>
        <v>Quattro подвеснойсо шлегелемГоризонт нижний, мм</v>
      </c>
      <c r="B266" s="50" t="s">
        <v>106</v>
      </c>
      <c r="C266" s="39" t="s">
        <v>30</v>
      </c>
      <c r="D266" s="51">
        <f>D258-77</f>
        <v>939</v>
      </c>
      <c r="E266" s="52">
        <f>E259-77</f>
        <v>613.66666666666663</v>
      </c>
      <c r="F266" s="52">
        <f>F260-77</f>
        <v>451</v>
      </c>
      <c r="G266" s="52">
        <f>G261-77</f>
        <v>441</v>
      </c>
      <c r="H266" s="53">
        <f>H262-77</f>
        <v>353.4</v>
      </c>
    </row>
    <row r="267" spans="1:8" ht="15.75" thickBot="1" x14ac:dyDescent="0.3">
      <c r="A267" s="23" t="str">
        <f t="shared" si="41"/>
        <v>Quattro подвеснойсо шлегелемСоединительный профиль, мм</v>
      </c>
      <c r="B267" s="54" t="s">
        <v>107</v>
      </c>
      <c r="C267" s="44" t="s">
        <v>30</v>
      </c>
      <c r="D267" s="51">
        <f>D258-77</f>
        <v>939</v>
      </c>
      <c r="E267" s="52">
        <f>E259-77</f>
        <v>613.66666666666663</v>
      </c>
      <c r="F267" s="52">
        <f>F260-77</f>
        <v>451</v>
      </c>
      <c r="G267" s="52">
        <f>G261-77</f>
        <v>441</v>
      </c>
      <c r="H267" s="53">
        <f>H262-77</f>
        <v>353.4</v>
      </c>
    </row>
    <row r="268" spans="1:8" ht="15.75" x14ac:dyDescent="0.25">
      <c r="A268" s="23" t="str">
        <f t="shared" si="41"/>
        <v>Quattro подвеснойсо шлегелемРазмер заполнения ЛДСП   L, мм</v>
      </c>
      <c r="B268" s="55" t="s">
        <v>99</v>
      </c>
      <c r="C268" s="72" t="s">
        <v>132</v>
      </c>
      <c r="D268" s="56">
        <f>D258-61</f>
        <v>955</v>
      </c>
      <c r="E268" s="57">
        <f>E259-61</f>
        <v>629.66666666666663</v>
      </c>
      <c r="F268" s="57">
        <f>F260-61</f>
        <v>467</v>
      </c>
      <c r="G268" s="57">
        <f>G261-61</f>
        <v>457</v>
      </c>
      <c r="H268" s="58">
        <f>H262-61</f>
        <v>369.4</v>
      </c>
    </row>
    <row r="269" spans="1:8" ht="15.75" x14ac:dyDescent="0.25">
      <c r="A269" s="23" t="str">
        <f t="shared" si="41"/>
        <v>Quattro подвеснойсо шлегелемРазмер заполнения ЛДСП   H, мм</v>
      </c>
      <c r="B269" s="59" t="s">
        <v>100</v>
      </c>
      <c r="C269" s="39" t="s">
        <v>75</v>
      </c>
      <c r="D269" s="60">
        <f>D257-67</f>
        <v>2363</v>
      </c>
      <c r="E269" s="61">
        <f>E257-67</f>
        <v>2363</v>
      </c>
      <c r="F269" s="61">
        <f>F257-67</f>
        <v>2363</v>
      </c>
      <c r="G269" s="61">
        <f>G257-67</f>
        <v>2363</v>
      </c>
      <c r="H269" s="62">
        <f>H257-67</f>
        <v>2363</v>
      </c>
    </row>
    <row r="270" spans="1:8" ht="15.75" x14ac:dyDescent="0.25">
      <c r="A270" s="23" t="str">
        <f t="shared" si="41"/>
        <v>Quattro подвеснойсо шлегелемРазмер заполнения  зеркало/стекло  L, мм</v>
      </c>
      <c r="B270" s="63" t="s">
        <v>101</v>
      </c>
      <c r="C270" s="39" t="s">
        <v>133</v>
      </c>
      <c r="D270" s="60">
        <f>D258-63</f>
        <v>953</v>
      </c>
      <c r="E270" s="61">
        <f>E259-63</f>
        <v>627.66666666666663</v>
      </c>
      <c r="F270" s="61">
        <f>F260-63</f>
        <v>465</v>
      </c>
      <c r="G270" s="61">
        <f>G261-63</f>
        <v>455</v>
      </c>
      <c r="H270" s="62">
        <f>H262-63</f>
        <v>367.4</v>
      </c>
    </row>
    <row r="271" spans="1:8" ht="16.5" thickBot="1" x14ac:dyDescent="0.3">
      <c r="A271" s="23" t="str">
        <f t="shared" si="41"/>
        <v>Quattro подвеснойсо шлегелемРазмер заполнения  зеркало/стекло  H, мм</v>
      </c>
      <c r="B271" s="64" t="s">
        <v>102</v>
      </c>
      <c r="C271" s="44" t="s">
        <v>76</v>
      </c>
      <c r="D271" s="65">
        <f>D257-69</f>
        <v>2361</v>
      </c>
      <c r="E271" s="66">
        <f>E257-69</f>
        <v>2361</v>
      </c>
      <c r="F271" s="66">
        <f>F257-69</f>
        <v>2361</v>
      </c>
      <c r="G271" s="66">
        <f>G257-69</f>
        <v>2361</v>
      </c>
      <c r="H271" s="67">
        <f>H257-69</f>
        <v>2361</v>
      </c>
    </row>
    <row r="272" spans="1:8" ht="15.75" thickBot="1" x14ac:dyDescent="0.3"/>
    <row r="273" spans="1:8" x14ac:dyDescent="0.25">
      <c r="B273" s="107" t="s">
        <v>9</v>
      </c>
      <c r="C273" s="110" t="s">
        <v>97</v>
      </c>
      <c r="D273" s="111"/>
      <c r="E273" s="111"/>
      <c r="F273" s="111"/>
      <c r="G273" s="111"/>
      <c r="H273" s="112"/>
    </row>
    <row r="274" spans="1:8" x14ac:dyDescent="0.25">
      <c r="B274" s="108"/>
      <c r="C274" s="113" t="s">
        <v>10</v>
      </c>
      <c r="D274" s="114"/>
      <c r="E274" s="114"/>
      <c r="F274" s="114"/>
      <c r="G274" s="114"/>
      <c r="H274" s="115"/>
    </row>
    <row r="275" spans="1:8" ht="15.75" thickBot="1" x14ac:dyDescent="0.3">
      <c r="B275" s="108"/>
      <c r="C275" s="100" t="s">
        <v>12</v>
      </c>
      <c r="D275" s="101" t="s">
        <v>13</v>
      </c>
      <c r="E275" s="101" t="s">
        <v>14</v>
      </c>
      <c r="F275" s="31" t="s">
        <v>50</v>
      </c>
      <c r="G275" s="31" t="s">
        <v>51</v>
      </c>
      <c r="H275" s="102" t="s">
        <v>16</v>
      </c>
    </row>
    <row r="276" spans="1:8" ht="18.75" x14ac:dyDescent="0.3">
      <c r="A276" s="23" t="str">
        <f>CONCATENATE($C$273,$C$274,B276)</f>
        <v>Grandбез шлегеляВысота двери</v>
      </c>
      <c r="B276" s="33" t="s">
        <v>17</v>
      </c>
      <c r="C276" s="72" t="s">
        <v>18</v>
      </c>
      <c r="D276" s="35">
        <f>$B$3-40</f>
        <v>2460</v>
      </c>
      <c r="E276" s="36">
        <f t="shared" ref="E276:H276" si="43">$B$3-40</f>
        <v>2460</v>
      </c>
      <c r="F276" s="36">
        <f t="shared" si="43"/>
        <v>2460</v>
      </c>
      <c r="G276" s="36">
        <f t="shared" si="43"/>
        <v>2460</v>
      </c>
      <c r="H276" s="37">
        <f t="shared" si="43"/>
        <v>2460</v>
      </c>
    </row>
    <row r="277" spans="1:8" ht="18.75" x14ac:dyDescent="0.3">
      <c r="A277" s="23" t="str">
        <f t="shared" ref="A277:A290" si="44">CONCATENATE($C$273,$C$274,B277)</f>
        <v>Grandбез шлегеляШирина двери (2 двери)                                           I-----____I</v>
      </c>
      <c r="B277" s="38" t="s">
        <v>112</v>
      </c>
      <c r="C277" s="73" t="s">
        <v>77</v>
      </c>
      <c r="D277" s="40">
        <f>($B$5+60)/2</f>
        <v>1030</v>
      </c>
      <c r="E277" s="41"/>
      <c r="F277" s="41"/>
      <c r="G277" s="41"/>
      <c r="H277" s="42"/>
    </row>
    <row r="278" spans="1:8" ht="18.75" x14ac:dyDescent="0.3">
      <c r="A278" s="23" t="str">
        <f t="shared" si="44"/>
        <v>Grandбез шлегеляШирина двери (3 двери)                                    I-----____-----I</v>
      </c>
      <c r="B278" s="38" t="s">
        <v>111</v>
      </c>
      <c r="C278" s="73" t="s">
        <v>78</v>
      </c>
      <c r="D278" s="40"/>
      <c r="E278" s="41">
        <f>($B$5+60*2)/3</f>
        <v>706.66666666666663</v>
      </c>
      <c r="F278" s="41"/>
      <c r="G278" s="41"/>
      <c r="H278" s="42"/>
    </row>
    <row r="279" spans="1:8" ht="18.75" x14ac:dyDescent="0.3">
      <c r="A279" s="23" t="str">
        <f t="shared" si="44"/>
        <v>Grandбез шлегеляШирина двери (4 двери) 1 вариант     I----- ____ -----____I</v>
      </c>
      <c r="B279" s="38" t="s">
        <v>109</v>
      </c>
      <c r="C279" s="73" t="s">
        <v>79</v>
      </c>
      <c r="D279" s="40"/>
      <c r="E279" s="41"/>
      <c r="F279" s="41">
        <f>($B$5+60*3)/4</f>
        <v>545</v>
      </c>
      <c r="G279" s="41"/>
      <c r="H279" s="42"/>
    </row>
    <row r="280" spans="1:8" ht="18.75" x14ac:dyDescent="0.3">
      <c r="A280" s="23" t="str">
        <f t="shared" si="44"/>
        <v>Grandбез шлегеляШирина двери (4 двери) 2 вариант     I-----____  ____-----I</v>
      </c>
      <c r="B280" s="38" t="s">
        <v>108</v>
      </c>
      <c r="C280" s="73" t="s">
        <v>80</v>
      </c>
      <c r="D280" s="40"/>
      <c r="E280" s="41"/>
      <c r="F280" s="41"/>
      <c r="G280" s="41">
        <f>($B$5+60*2)/4</f>
        <v>530</v>
      </c>
      <c r="H280" s="42"/>
    </row>
    <row r="281" spans="1:8" ht="19.5" thickBot="1" x14ac:dyDescent="0.35">
      <c r="A281" s="23" t="str">
        <f t="shared" si="44"/>
        <v>Grandбез шлегеляШирина двери (5 дверей)                  I-----____-----____-----I</v>
      </c>
      <c r="B281" s="43" t="s">
        <v>110</v>
      </c>
      <c r="C281" s="74" t="s">
        <v>81</v>
      </c>
      <c r="D281" s="45"/>
      <c r="E281" s="46"/>
      <c r="F281" s="46"/>
      <c r="G281" s="46"/>
      <c r="H281" s="47">
        <f>($B$5+60*4)/5</f>
        <v>448</v>
      </c>
    </row>
    <row r="282" spans="1:8" x14ac:dyDescent="0.25">
      <c r="A282" s="23" t="str">
        <f t="shared" si="44"/>
        <v>Grandбез шлегеляРельс верхний, мм</v>
      </c>
      <c r="B282" s="48" t="s">
        <v>103</v>
      </c>
      <c r="C282" s="103" t="s">
        <v>115</v>
      </c>
      <c r="D282" s="104">
        <f t="shared" ref="D282:H283" si="45">$B$5</f>
        <v>2000</v>
      </c>
      <c r="E282" s="104">
        <f t="shared" si="45"/>
        <v>2000</v>
      </c>
      <c r="F282" s="104">
        <f t="shared" si="45"/>
        <v>2000</v>
      </c>
      <c r="G282" s="104">
        <f t="shared" si="45"/>
        <v>2000</v>
      </c>
      <c r="H282" s="104">
        <f t="shared" si="45"/>
        <v>2000</v>
      </c>
    </row>
    <row r="283" spans="1:8" x14ac:dyDescent="0.25">
      <c r="A283" s="23" t="str">
        <f t="shared" si="44"/>
        <v>Grandбез шлегеляРельс нижний, мм</v>
      </c>
      <c r="B283" s="50" t="s">
        <v>104</v>
      </c>
      <c r="C283" s="73" t="s">
        <v>115</v>
      </c>
      <c r="D283" s="104">
        <f t="shared" si="45"/>
        <v>2000</v>
      </c>
      <c r="E283" s="104">
        <f t="shared" si="45"/>
        <v>2000</v>
      </c>
      <c r="F283" s="104">
        <f t="shared" si="45"/>
        <v>2000</v>
      </c>
      <c r="G283" s="104">
        <f t="shared" si="45"/>
        <v>2000</v>
      </c>
      <c r="H283" s="104">
        <f t="shared" si="45"/>
        <v>2000</v>
      </c>
    </row>
    <row r="284" spans="1:8" x14ac:dyDescent="0.25">
      <c r="A284" s="23" t="str">
        <f t="shared" si="44"/>
        <v>Grandбез шлегеляГоризонт верхний, мм</v>
      </c>
      <c r="B284" s="50" t="s">
        <v>105</v>
      </c>
      <c r="C284" s="73" t="s">
        <v>82</v>
      </c>
      <c r="D284" s="52">
        <f>D277-118</f>
        <v>912</v>
      </c>
      <c r="E284" s="52">
        <f>E278-118</f>
        <v>588.66666666666663</v>
      </c>
      <c r="F284" s="52">
        <f>F279-118</f>
        <v>427</v>
      </c>
      <c r="G284" s="52">
        <f>G280-118</f>
        <v>412</v>
      </c>
      <c r="H284" s="53">
        <f>H281-118</f>
        <v>330</v>
      </c>
    </row>
    <row r="285" spans="1:8" x14ac:dyDescent="0.25">
      <c r="A285" s="23" t="str">
        <f t="shared" si="44"/>
        <v>Grandбез шлегеляГоризонт нижний, мм</v>
      </c>
      <c r="B285" s="50" t="s">
        <v>106</v>
      </c>
      <c r="C285" s="73" t="s">
        <v>82</v>
      </c>
      <c r="D285" s="51">
        <f>D277-118</f>
        <v>912</v>
      </c>
      <c r="E285" s="52">
        <f>E278-118</f>
        <v>588.66666666666663</v>
      </c>
      <c r="F285" s="52">
        <f>F279-118</f>
        <v>427</v>
      </c>
      <c r="G285" s="52">
        <f>G280-118</f>
        <v>412</v>
      </c>
      <c r="H285" s="53">
        <f>H281-118</f>
        <v>330</v>
      </c>
    </row>
    <row r="286" spans="1:8" ht="15.75" thickBot="1" x14ac:dyDescent="0.3">
      <c r="A286" s="23" t="str">
        <f t="shared" si="44"/>
        <v>Grandбез шлегеляСоединительный профиль, мм</v>
      </c>
      <c r="B286" s="54" t="s">
        <v>107</v>
      </c>
      <c r="C286" s="73" t="s">
        <v>82</v>
      </c>
      <c r="D286" s="51">
        <f>D277-118</f>
        <v>912</v>
      </c>
      <c r="E286" s="52">
        <f>E278-118</f>
        <v>588.66666666666663</v>
      </c>
      <c r="F286" s="52">
        <f>F279-118</f>
        <v>427</v>
      </c>
      <c r="G286" s="52">
        <f>G280-118</f>
        <v>412</v>
      </c>
      <c r="H286" s="53">
        <f>H281-118</f>
        <v>330</v>
      </c>
    </row>
    <row r="287" spans="1:8" ht="15.75" x14ac:dyDescent="0.25">
      <c r="A287" s="23" t="str">
        <f t="shared" si="44"/>
        <v>Grandбез шлегеляРазмер заполнения ЛДСП   L, мм</v>
      </c>
      <c r="B287" s="55" t="s">
        <v>99</v>
      </c>
      <c r="C287" s="72" t="s">
        <v>83</v>
      </c>
      <c r="D287" s="56">
        <f>D277-100</f>
        <v>930</v>
      </c>
      <c r="E287" s="57">
        <f>E278-100</f>
        <v>606.66666666666663</v>
      </c>
      <c r="F287" s="57">
        <f>F279-100</f>
        <v>445</v>
      </c>
      <c r="G287" s="57">
        <f>G280-100</f>
        <v>430</v>
      </c>
      <c r="H287" s="58">
        <f>H281-100</f>
        <v>348</v>
      </c>
    </row>
    <row r="288" spans="1:8" ht="15.75" x14ac:dyDescent="0.25">
      <c r="A288" s="23" t="str">
        <f t="shared" si="44"/>
        <v>Grandбез шлегеляРазмер заполнения ЛДСП   H, мм</v>
      </c>
      <c r="B288" s="59" t="s">
        <v>100</v>
      </c>
      <c r="C288" s="73" t="s">
        <v>84</v>
      </c>
      <c r="D288" s="60">
        <f>D276-87</f>
        <v>2373</v>
      </c>
      <c r="E288" s="61">
        <f>E276-87</f>
        <v>2373</v>
      </c>
      <c r="F288" s="61">
        <f>F276-87</f>
        <v>2373</v>
      </c>
      <c r="G288" s="61">
        <f>G276-87</f>
        <v>2373</v>
      </c>
      <c r="H288" s="62">
        <f>H276-87</f>
        <v>2373</v>
      </c>
    </row>
    <row r="289" spans="1:8" ht="15.75" x14ac:dyDescent="0.25">
      <c r="A289" s="23" t="str">
        <f t="shared" si="44"/>
        <v>Grandбез шлегеляРазмер заполнения  зеркало/стекло  L, мм</v>
      </c>
      <c r="B289" s="63" t="s">
        <v>101</v>
      </c>
      <c r="C289" s="73" t="s">
        <v>85</v>
      </c>
      <c r="D289" s="60">
        <f>D277-102</f>
        <v>928</v>
      </c>
      <c r="E289" s="61">
        <f>E278-102</f>
        <v>604.66666666666663</v>
      </c>
      <c r="F289" s="61">
        <f>F279-102</f>
        <v>443</v>
      </c>
      <c r="G289" s="61">
        <f>G280-102</f>
        <v>428</v>
      </c>
      <c r="H289" s="62">
        <f>H281-102</f>
        <v>346</v>
      </c>
    </row>
    <row r="290" spans="1:8" ht="16.5" thickBot="1" x14ac:dyDescent="0.3">
      <c r="A290" s="23" t="str">
        <f t="shared" si="44"/>
        <v>Grandбез шлегеляРазмер заполнения  зеркало/стекло  H, мм</v>
      </c>
      <c r="B290" s="64" t="s">
        <v>102</v>
      </c>
      <c r="C290" s="74" t="s">
        <v>86</v>
      </c>
      <c r="D290" s="65">
        <f>D276-89</f>
        <v>2371</v>
      </c>
      <c r="E290" s="66">
        <f>E276-89</f>
        <v>2371</v>
      </c>
      <c r="F290" s="66">
        <f>F276-89</f>
        <v>2371</v>
      </c>
      <c r="G290" s="66">
        <f>G276-89</f>
        <v>2371</v>
      </c>
      <c r="H290" s="67">
        <f>H276-89</f>
        <v>2371</v>
      </c>
    </row>
    <row r="291" spans="1:8" ht="15.75" thickBot="1" x14ac:dyDescent="0.3"/>
    <row r="292" spans="1:8" x14ac:dyDescent="0.25">
      <c r="B292" s="107" t="s">
        <v>9</v>
      </c>
      <c r="C292" s="110" t="s">
        <v>97</v>
      </c>
      <c r="D292" s="111"/>
      <c r="E292" s="111"/>
      <c r="F292" s="111"/>
      <c r="G292" s="111"/>
      <c r="H292" s="112"/>
    </row>
    <row r="293" spans="1:8" x14ac:dyDescent="0.25">
      <c r="B293" s="108"/>
      <c r="C293" s="113" t="s">
        <v>11</v>
      </c>
      <c r="D293" s="114"/>
      <c r="E293" s="114"/>
      <c r="F293" s="114"/>
      <c r="G293" s="114"/>
      <c r="H293" s="115"/>
    </row>
    <row r="294" spans="1:8" ht="15.75" thickBot="1" x14ac:dyDescent="0.3">
      <c r="B294" s="108"/>
      <c r="C294" s="100" t="s">
        <v>12</v>
      </c>
      <c r="D294" s="101" t="s">
        <v>13</v>
      </c>
      <c r="E294" s="101" t="s">
        <v>14</v>
      </c>
      <c r="F294" s="31" t="s">
        <v>50</v>
      </c>
      <c r="G294" s="31" t="s">
        <v>51</v>
      </c>
      <c r="H294" s="102" t="s">
        <v>16</v>
      </c>
    </row>
    <row r="295" spans="1:8" ht="18.75" x14ac:dyDescent="0.3">
      <c r="A295" s="23" t="str">
        <f>CONCATENATE($C$292,$C$293,B295)</f>
        <v>Grandсо шлегелемВысота двери</v>
      </c>
      <c r="B295" s="33" t="s">
        <v>17</v>
      </c>
      <c r="C295" s="34" t="s">
        <v>18</v>
      </c>
      <c r="D295" s="35">
        <f>$B$3-40</f>
        <v>2460</v>
      </c>
      <c r="E295" s="36">
        <f t="shared" ref="E295:H295" si="46">$B$3-40</f>
        <v>2460</v>
      </c>
      <c r="F295" s="36">
        <f t="shared" si="46"/>
        <v>2460</v>
      </c>
      <c r="G295" s="36">
        <f t="shared" si="46"/>
        <v>2460</v>
      </c>
      <c r="H295" s="37">
        <f t="shared" si="46"/>
        <v>2460</v>
      </c>
    </row>
    <row r="296" spans="1:8" ht="18.75" x14ac:dyDescent="0.3">
      <c r="A296" s="23" t="str">
        <f t="shared" ref="A296:A309" si="47">CONCATENATE($C$292,$C$293,B296)</f>
        <v>Grandсо шлегелемШирина двери (2 двери)                                           I-----____I</v>
      </c>
      <c r="B296" s="38" t="s">
        <v>112</v>
      </c>
      <c r="C296" s="39" t="s">
        <v>87</v>
      </c>
      <c r="D296" s="40">
        <f>($B$5+60-8)/2</f>
        <v>1026</v>
      </c>
      <c r="E296" s="41"/>
      <c r="F296" s="41"/>
      <c r="G296" s="41"/>
      <c r="H296" s="42"/>
    </row>
    <row r="297" spans="1:8" ht="18.75" x14ac:dyDescent="0.3">
      <c r="A297" s="23" t="str">
        <f t="shared" si="47"/>
        <v>Grandсо шлегелемШирина двери (3 двери)                                    I-----____-----I</v>
      </c>
      <c r="B297" s="38" t="s">
        <v>111</v>
      </c>
      <c r="C297" s="39" t="s">
        <v>88</v>
      </c>
      <c r="D297" s="40"/>
      <c r="E297" s="41">
        <f>($B$5+60*2-8)/3</f>
        <v>704</v>
      </c>
      <c r="F297" s="41"/>
      <c r="G297" s="41"/>
      <c r="H297" s="42"/>
    </row>
    <row r="298" spans="1:8" ht="18.75" x14ac:dyDescent="0.3">
      <c r="A298" s="23" t="str">
        <f t="shared" si="47"/>
        <v>Grandсо шлегелемШирина двери (4 двери) 1 вариант     I----- ____ -----____I</v>
      </c>
      <c r="B298" s="38" t="s">
        <v>109</v>
      </c>
      <c r="C298" s="39" t="s">
        <v>89</v>
      </c>
      <c r="D298" s="40"/>
      <c r="E298" s="41"/>
      <c r="F298" s="41">
        <f>($B$5+60*3-8)/4</f>
        <v>543</v>
      </c>
      <c r="G298" s="41"/>
      <c r="H298" s="42"/>
    </row>
    <row r="299" spans="1:8" ht="18.75" x14ac:dyDescent="0.3">
      <c r="A299" s="23" t="str">
        <f t="shared" si="47"/>
        <v>Grandсо шлегелемШирина двери (4 двери) 2 вариант     I-----____  ____-----I</v>
      </c>
      <c r="B299" s="38" t="s">
        <v>108</v>
      </c>
      <c r="C299" s="39" t="s">
        <v>90</v>
      </c>
      <c r="D299" s="40"/>
      <c r="E299" s="41"/>
      <c r="F299" s="41"/>
      <c r="G299" s="41">
        <f>($B$5+60*2-8)/4</f>
        <v>528</v>
      </c>
      <c r="H299" s="42"/>
    </row>
    <row r="300" spans="1:8" ht="19.5" thickBot="1" x14ac:dyDescent="0.35">
      <c r="A300" s="23" t="str">
        <f t="shared" si="47"/>
        <v>Grandсо шлегелемШирина двери (5 дверей)                  I-----____-----____-----I</v>
      </c>
      <c r="B300" s="43" t="s">
        <v>110</v>
      </c>
      <c r="C300" s="44" t="s">
        <v>91</v>
      </c>
      <c r="D300" s="45"/>
      <c r="E300" s="46"/>
      <c r="F300" s="46"/>
      <c r="G300" s="46"/>
      <c r="H300" s="47">
        <f>($B$5+60*4-8)/5</f>
        <v>446.4</v>
      </c>
    </row>
    <row r="301" spans="1:8" ht="15.75" thickBot="1" x14ac:dyDescent="0.3">
      <c r="A301" s="23" t="str">
        <f t="shared" si="47"/>
        <v>Grandсо шлегелемРельс верхний, мм</v>
      </c>
      <c r="B301" s="48" t="s">
        <v>103</v>
      </c>
      <c r="C301" s="72" t="s">
        <v>115</v>
      </c>
      <c r="D301" s="49">
        <f>$B$5</f>
        <v>2000</v>
      </c>
      <c r="E301" s="49">
        <f t="shared" ref="E301:H302" si="48">$B$5</f>
        <v>2000</v>
      </c>
      <c r="F301" s="49">
        <f t="shared" si="48"/>
        <v>2000</v>
      </c>
      <c r="G301" s="49">
        <f t="shared" si="48"/>
        <v>2000</v>
      </c>
      <c r="H301" s="49">
        <f t="shared" si="48"/>
        <v>2000</v>
      </c>
    </row>
    <row r="302" spans="1:8" x14ac:dyDescent="0.25">
      <c r="A302" s="23" t="str">
        <f t="shared" si="47"/>
        <v>Grandсо шлегелемРельс нижний, мм</v>
      </c>
      <c r="B302" s="50" t="s">
        <v>104</v>
      </c>
      <c r="C302" s="72" t="s">
        <v>115</v>
      </c>
      <c r="D302" s="49">
        <f>$B$5</f>
        <v>2000</v>
      </c>
      <c r="E302" s="49">
        <f t="shared" si="48"/>
        <v>2000</v>
      </c>
      <c r="F302" s="49">
        <f t="shared" si="48"/>
        <v>2000</v>
      </c>
      <c r="G302" s="49">
        <f t="shared" si="48"/>
        <v>2000</v>
      </c>
      <c r="H302" s="49">
        <f t="shared" si="48"/>
        <v>2000</v>
      </c>
    </row>
    <row r="303" spans="1:8" x14ac:dyDescent="0.25">
      <c r="A303" s="23" t="str">
        <f t="shared" si="47"/>
        <v>Grandсо шлегелемГоризонт верхний, мм</v>
      </c>
      <c r="B303" s="50" t="s">
        <v>105</v>
      </c>
      <c r="C303" s="73" t="s">
        <v>82</v>
      </c>
      <c r="D303" s="51">
        <f>D296-118</f>
        <v>908</v>
      </c>
      <c r="E303" s="52">
        <f>E297-118</f>
        <v>586</v>
      </c>
      <c r="F303" s="52">
        <f>F298-118</f>
        <v>425</v>
      </c>
      <c r="G303" s="52">
        <f>G299-118</f>
        <v>410</v>
      </c>
      <c r="H303" s="53">
        <f>H300-118</f>
        <v>328.4</v>
      </c>
    </row>
    <row r="304" spans="1:8" x14ac:dyDescent="0.25">
      <c r="A304" s="23" t="str">
        <f t="shared" si="47"/>
        <v>Grandсо шлегелемГоризонт нижний, мм</v>
      </c>
      <c r="B304" s="50" t="s">
        <v>106</v>
      </c>
      <c r="C304" s="73" t="s">
        <v>82</v>
      </c>
      <c r="D304" s="51">
        <f>D296-118</f>
        <v>908</v>
      </c>
      <c r="E304" s="52">
        <f>E297-118</f>
        <v>586</v>
      </c>
      <c r="F304" s="52">
        <f>F298-118</f>
        <v>425</v>
      </c>
      <c r="G304" s="52">
        <f>G299-118</f>
        <v>410</v>
      </c>
      <c r="H304" s="53">
        <f>H300-118</f>
        <v>328.4</v>
      </c>
    </row>
    <row r="305" spans="1:8" ht="15.75" thickBot="1" x14ac:dyDescent="0.3">
      <c r="A305" s="23" t="str">
        <f t="shared" si="47"/>
        <v>Grandсо шлегелемСоединительный профиль, мм</v>
      </c>
      <c r="B305" s="54" t="s">
        <v>107</v>
      </c>
      <c r="C305" s="73" t="s">
        <v>82</v>
      </c>
      <c r="D305" s="51">
        <f>D296-118</f>
        <v>908</v>
      </c>
      <c r="E305" s="52">
        <f>E297-118</f>
        <v>586</v>
      </c>
      <c r="F305" s="52">
        <f>F298-118</f>
        <v>425</v>
      </c>
      <c r="G305" s="52">
        <f>G299-118</f>
        <v>410</v>
      </c>
      <c r="H305" s="53">
        <f>H300-118</f>
        <v>328.4</v>
      </c>
    </row>
    <row r="306" spans="1:8" ht="15.75" x14ac:dyDescent="0.25">
      <c r="A306" s="23" t="str">
        <f t="shared" si="47"/>
        <v>Grandсо шлегелемРазмер заполнения ЛДСП   L, мм</v>
      </c>
      <c r="B306" s="55" t="s">
        <v>99</v>
      </c>
      <c r="C306" s="72" t="s">
        <v>83</v>
      </c>
      <c r="D306" s="56">
        <f>D296-100</f>
        <v>926</v>
      </c>
      <c r="E306" s="57">
        <f>E297-100</f>
        <v>604</v>
      </c>
      <c r="F306" s="57">
        <f>F298-100</f>
        <v>443</v>
      </c>
      <c r="G306" s="57">
        <f>G299-100</f>
        <v>428</v>
      </c>
      <c r="H306" s="58">
        <f>H300-100</f>
        <v>346.4</v>
      </c>
    </row>
    <row r="307" spans="1:8" ht="15.75" x14ac:dyDescent="0.25">
      <c r="A307" s="23" t="str">
        <f t="shared" si="47"/>
        <v>Grandсо шлегелемРазмер заполнения ЛДСП   H, мм</v>
      </c>
      <c r="B307" s="59" t="s">
        <v>100</v>
      </c>
      <c r="C307" s="73" t="s">
        <v>84</v>
      </c>
      <c r="D307" s="60">
        <f>D295-87</f>
        <v>2373</v>
      </c>
      <c r="E307" s="61">
        <f>E295-87</f>
        <v>2373</v>
      </c>
      <c r="F307" s="61">
        <f>F295-87</f>
        <v>2373</v>
      </c>
      <c r="G307" s="61">
        <f>G295-87</f>
        <v>2373</v>
      </c>
      <c r="H307" s="62">
        <f>H295-87</f>
        <v>2373</v>
      </c>
    </row>
    <row r="308" spans="1:8" ht="15.75" x14ac:dyDescent="0.25">
      <c r="A308" s="23" t="str">
        <f t="shared" si="47"/>
        <v>Grandсо шлегелемРазмер заполнения  зеркало/стекло  L, мм</v>
      </c>
      <c r="B308" s="63" t="s">
        <v>101</v>
      </c>
      <c r="C308" s="73" t="s">
        <v>85</v>
      </c>
      <c r="D308" s="60">
        <f>D296-102</f>
        <v>924</v>
      </c>
      <c r="E308" s="61">
        <f>E297-102</f>
        <v>602</v>
      </c>
      <c r="F308" s="61">
        <f>F298-102</f>
        <v>441</v>
      </c>
      <c r="G308" s="61">
        <f>G299-102</f>
        <v>426</v>
      </c>
      <c r="H308" s="62">
        <f>H300-102</f>
        <v>344.4</v>
      </c>
    </row>
    <row r="309" spans="1:8" ht="16.5" thickBot="1" x14ac:dyDescent="0.3">
      <c r="A309" s="23" t="str">
        <f t="shared" si="47"/>
        <v>Grandсо шлегелемРазмер заполнения  зеркало/стекло  H, мм</v>
      </c>
      <c r="B309" s="64" t="s">
        <v>102</v>
      </c>
      <c r="C309" s="74" t="s">
        <v>86</v>
      </c>
      <c r="D309" s="65">
        <f>D295-89</f>
        <v>2371</v>
      </c>
      <c r="E309" s="66">
        <f>E295-89</f>
        <v>2371</v>
      </c>
      <c r="F309" s="66">
        <f>F295-89</f>
        <v>2371</v>
      </c>
      <c r="G309" s="66">
        <f>G295-89</f>
        <v>2371</v>
      </c>
      <c r="H309" s="67">
        <f>H295-89</f>
        <v>2371</v>
      </c>
    </row>
    <row r="310" spans="1:8" ht="15.75" thickBot="1" x14ac:dyDescent="0.3"/>
    <row r="311" spans="1:8" x14ac:dyDescent="0.25">
      <c r="B311" s="107" t="s">
        <v>9</v>
      </c>
      <c r="C311" s="110" t="s">
        <v>98</v>
      </c>
      <c r="D311" s="111"/>
      <c r="E311" s="111"/>
      <c r="F311" s="111"/>
      <c r="G311" s="111"/>
      <c r="H311" s="112"/>
    </row>
    <row r="312" spans="1:8" x14ac:dyDescent="0.25">
      <c r="B312" s="108"/>
      <c r="C312" s="113" t="s">
        <v>10</v>
      </c>
      <c r="D312" s="114"/>
      <c r="E312" s="114"/>
      <c r="F312" s="114"/>
      <c r="G312" s="114"/>
      <c r="H312" s="115"/>
    </row>
    <row r="313" spans="1:8" ht="15.75" thickBot="1" x14ac:dyDescent="0.3">
      <c r="B313" s="108"/>
      <c r="C313" s="100" t="s">
        <v>12</v>
      </c>
      <c r="D313" s="101" t="s">
        <v>13</v>
      </c>
      <c r="E313" s="101" t="s">
        <v>14</v>
      </c>
      <c r="F313" s="101" t="s">
        <v>15</v>
      </c>
      <c r="G313" s="101" t="s">
        <v>15</v>
      </c>
      <c r="H313" s="102" t="s">
        <v>16</v>
      </c>
    </row>
    <row r="314" spans="1:8" ht="18.75" x14ac:dyDescent="0.3">
      <c r="A314" s="23" t="str">
        <f>CONCATENATE($C$311,$C$312,B314)</f>
        <v>Grand подвеснойбез шлегеляВысота двери</v>
      </c>
      <c r="B314" s="33" t="s">
        <v>17</v>
      </c>
      <c r="C314" s="72" t="s">
        <v>74</v>
      </c>
      <c r="D314" s="35">
        <f>$B$3-70</f>
        <v>2430</v>
      </c>
      <c r="E314" s="35">
        <f t="shared" ref="E314:H314" si="49">$B$3-70</f>
        <v>2430</v>
      </c>
      <c r="F314" s="35">
        <f t="shared" si="49"/>
        <v>2430</v>
      </c>
      <c r="G314" s="35">
        <f t="shared" si="49"/>
        <v>2430</v>
      </c>
      <c r="H314" s="35">
        <f t="shared" si="49"/>
        <v>2430</v>
      </c>
    </row>
    <row r="315" spans="1:8" ht="18.75" x14ac:dyDescent="0.3">
      <c r="A315" s="23" t="str">
        <f t="shared" ref="A315:A328" si="50">CONCATENATE($C$311,$C$312,B315)</f>
        <v>Grand подвеснойбез шлегеляШирина двери (2 двери)                                           I-----____I</v>
      </c>
      <c r="B315" s="38" t="s">
        <v>112</v>
      </c>
      <c r="C315" s="73" t="s">
        <v>77</v>
      </c>
      <c r="D315" s="40">
        <f>($B$5+60)/2</f>
        <v>1030</v>
      </c>
      <c r="E315" s="41"/>
      <c r="F315" s="41"/>
      <c r="G315" s="41"/>
      <c r="H315" s="42"/>
    </row>
    <row r="316" spans="1:8" ht="18.75" x14ac:dyDescent="0.3">
      <c r="A316" s="23" t="str">
        <f t="shared" si="50"/>
        <v>Grand подвеснойбез шлегеляШирина двери (3 двери)                                    I-----____-----I</v>
      </c>
      <c r="B316" s="38" t="s">
        <v>111</v>
      </c>
      <c r="C316" s="73" t="s">
        <v>78</v>
      </c>
      <c r="D316" s="40"/>
      <c r="E316" s="41">
        <f>($B$5+60*2)/3</f>
        <v>706.66666666666663</v>
      </c>
      <c r="F316" s="41"/>
      <c r="G316" s="41"/>
      <c r="H316" s="42"/>
    </row>
    <row r="317" spans="1:8" ht="18.75" x14ac:dyDescent="0.3">
      <c r="A317" s="23" t="str">
        <f t="shared" si="50"/>
        <v>Grand подвеснойбез шлегеляШирина двери (4 двери) 1 вариант     I----- ____ -----____I</v>
      </c>
      <c r="B317" s="38" t="s">
        <v>109</v>
      </c>
      <c r="C317" s="73" t="s">
        <v>79</v>
      </c>
      <c r="D317" s="40"/>
      <c r="E317" s="41"/>
      <c r="F317" s="41">
        <f>($B$5+60*3)/4</f>
        <v>545</v>
      </c>
      <c r="G317" s="41"/>
      <c r="H317" s="42"/>
    </row>
    <row r="318" spans="1:8" ht="18.75" x14ac:dyDescent="0.3">
      <c r="A318" s="23" t="str">
        <f t="shared" si="50"/>
        <v>Grand подвеснойбез шлегеляШирина двери (4 двери) 2 вариант     I-----____  ____-----I</v>
      </c>
      <c r="B318" s="38" t="s">
        <v>108</v>
      </c>
      <c r="C318" s="73" t="s">
        <v>80</v>
      </c>
      <c r="D318" s="40"/>
      <c r="E318" s="41"/>
      <c r="F318" s="41"/>
      <c r="G318" s="41">
        <f>($B$5+60*2)/4</f>
        <v>530</v>
      </c>
      <c r="H318" s="42"/>
    </row>
    <row r="319" spans="1:8" ht="19.5" thickBot="1" x14ac:dyDescent="0.35">
      <c r="A319" s="23" t="str">
        <f t="shared" si="50"/>
        <v>Grand подвеснойбез шлегеляШирина двери (5 дверей)                  I-----____-----____-----I</v>
      </c>
      <c r="B319" s="43" t="s">
        <v>110</v>
      </c>
      <c r="C319" s="74" t="s">
        <v>81</v>
      </c>
      <c r="D319" s="45"/>
      <c r="E319" s="46"/>
      <c r="F319" s="46"/>
      <c r="G319" s="46"/>
      <c r="H319" s="47">
        <f>($B$5+60*4)/5</f>
        <v>448</v>
      </c>
    </row>
    <row r="320" spans="1:8" ht="15.75" thickBot="1" x14ac:dyDescent="0.3">
      <c r="A320" s="23" t="str">
        <f t="shared" si="50"/>
        <v>Grand подвеснойбез шлегеляРельс верхний, мм</v>
      </c>
      <c r="B320" s="48" t="s">
        <v>103</v>
      </c>
      <c r="C320" s="72" t="s">
        <v>115</v>
      </c>
      <c r="D320" s="49">
        <f>$B$5</f>
        <v>2000</v>
      </c>
      <c r="E320" s="49">
        <f t="shared" ref="E320:H320" si="51">$B$5</f>
        <v>2000</v>
      </c>
      <c r="F320" s="49">
        <f t="shared" si="51"/>
        <v>2000</v>
      </c>
      <c r="G320" s="49">
        <f t="shared" si="51"/>
        <v>2000</v>
      </c>
      <c r="H320" s="49">
        <f t="shared" si="51"/>
        <v>2000</v>
      </c>
    </row>
    <row r="321" spans="1:8" ht="15.75" thickBot="1" x14ac:dyDescent="0.3">
      <c r="A321" s="23" t="str">
        <f t="shared" si="50"/>
        <v>Grand подвеснойбез шлегеляРельс нижний, мм</v>
      </c>
      <c r="B321" s="50" t="s">
        <v>104</v>
      </c>
      <c r="C321" s="72"/>
      <c r="D321" s="49"/>
      <c r="E321" s="49"/>
      <c r="F321" s="49"/>
      <c r="G321" s="49"/>
      <c r="H321" s="49"/>
    </row>
    <row r="322" spans="1:8" ht="15.75" thickBot="1" x14ac:dyDescent="0.3">
      <c r="A322" s="23" t="str">
        <f t="shared" si="50"/>
        <v>Grand подвеснойбез шлегеляГоризонт верхний, мм</v>
      </c>
      <c r="B322" s="50" t="s">
        <v>105</v>
      </c>
      <c r="C322" s="72" t="s">
        <v>92</v>
      </c>
      <c r="D322" s="51">
        <f>D315-120</f>
        <v>910</v>
      </c>
      <c r="E322" s="52">
        <f>E316-120</f>
        <v>586.66666666666663</v>
      </c>
      <c r="F322" s="52">
        <f>F317-120</f>
        <v>425</v>
      </c>
      <c r="G322" s="52">
        <f>G318-120</f>
        <v>410</v>
      </c>
      <c r="H322" s="53">
        <f>H319-120</f>
        <v>328</v>
      </c>
    </row>
    <row r="323" spans="1:8" ht="15.75" thickBot="1" x14ac:dyDescent="0.3">
      <c r="A323" s="23" t="str">
        <f t="shared" si="50"/>
        <v>Grand подвеснойбез шлегеляГоризонт нижний, мм</v>
      </c>
      <c r="B323" s="50" t="s">
        <v>106</v>
      </c>
      <c r="C323" s="72" t="s">
        <v>92</v>
      </c>
      <c r="D323" s="51">
        <f>D315-120</f>
        <v>910</v>
      </c>
      <c r="E323" s="52">
        <f>E316-120</f>
        <v>586.66666666666663</v>
      </c>
      <c r="F323" s="52">
        <f>F317-120</f>
        <v>425</v>
      </c>
      <c r="G323" s="52">
        <f>G318-120</f>
        <v>410</v>
      </c>
      <c r="H323" s="53">
        <f>H319-120</f>
        <v>328</v>
      </c>
    </row>
    <row r="324" spans="1:8" ht="15.75" thickBot="1" x14ac:dyDescent="0.3">
      <c r="A324" s="23" t="str">
        <f t="shared" si="50"/>
        <v>Grand подвеснойбез шлегеляСоединительный профиль, мм</v>
      </c>
      <c r="B324" s="54" t="s">
        <v>107</v>
      </c>
      <c r="C324" s="72" t="s">
        <v>92</v>
      </c>
      <c r="D324" s="51">
        <f>D315-120</f>
        <v>910</v>
      </c>
      <c r="E324" s="52">
        <f>E316-120</f>
        <v>586.66666666666663</v>
      </c>
      <c r="F324" s="52">
        <f>F317-120</f>
        <v>425</v>
      </c>
      <c r="G324" s="52">
        <f>G318-120</f>
        <v>410</v>
      </c>
      <c r="H324" s="53">
        <f>H319-120</f>
        <v>328</v>
      </c>
    </row>
    <row r="325" spans="1:8" ht="15.75" x14ac:dyDescent="0.25">
      <c r="A325" s="23" t="str">
        <f t="shared" si="50"/>
        <v>Grand подвеснойбез шлегеляРазмер заполнения ЛДСП   L, мм</v>
      </c>
      <c r="B325" s="55" t="s">
        <v>99</v>
      </c>
      <c r="C325" s="72" t="s">
        <v>83</v>
      </c>
      <c r="D325" s="56">
        <f>D315-100</f>
        <v>930</v>
      </c>
      <c r="E325" s="56">
        <f>E316-100</f>
        <v>606.66666666666663</v>
      </c>
      <c r="F325" s="56">
        <f>F317-100</f>
        <v>445</v>
      </c>
      <c r="G325" s="56">
        <f>G318-100</f>
        <v>430</v>
      </c>
      <c r="H325" s="56">
        <f>H319-100</f>
        <v>348</v>
      </c>
    </row>
    <row r="326" spans="1:8" ht="15.75" x14ac:dyDescent="0.25">
      <c r="A326" s="23" t="str">
        <f t="shared" si="50"/>
        <v>Grand подвеснойбез шлегеляРазмер заполнения ЛДСП   H, мм</v>
      </c>
      <c r="B326" s="59" t="s">
        <v>100</v>
      </c>
      <c r="C326" s="73" t="s">
        <v>75</v>
      </c>
      <c r="D326" s="60">
        <f>D314-67</f>
        <v>2363</v>
      </c>
      <c r="E326" s="61">
        <f>E314-67</f>
        <v>2363</v>
      </c>
      <c r="F326" s="61">
        <f>F314-67</f>
        <v>2363</v>
      </c>
      <c r="G326" s="61">
        <f>G314-67</f>
        <v>2363</v>
      </c>
      <c r="H326" s="62">
        <f>H314-67</f>
        <v>2363</v>
      </c>
    </row>
    <row r="327" spans="1:8" ht="15.75" x14ac:dyDescent="0.25">
      <c r="A327" s="23" t="str">
        <f t="shared" si="50"/>
        <v>Grand подвеснойбез шлегеляРазмер заполнения  зеркало/стекло  L, мм</v>
      </c>
      <c r="B327" s="63" t="s">
        <v>101</v>
      </c>
      <c r="C327" s="73" t="s">
        <v>85</v>
      </c>
      <c r="D327" s="60">
        <f>D315-102</f>
        <v>928</v>
      </c>
      <c r="E327" s="60">
        <f>E316-102</f>
        <v>604.66666666666663</v>
      </c>
      <c r="F327" s="60">
        <f>F317-102</f>
        <v>443</v>
      </c>
      <c r="G327" s="60">
        <f>G318-102</f>
        <v>428</v>
      </c>
      <c r="H327" s="60">
        <f>H319-102</f>
        <v>346</v>
      </c>
    </row>
    <row r="328" spans="1:8" ht="16.5" thickBot="1" x14ac:dyDescent="0.3">
      <c r="A328" s="23" t="str">
        <f t="shared" si="50"/>
        <v>Grand подвеснойбез шлегеляРазмер заполнения  зеркало/стекло  H, мм</v>
      </c>
      <c r="B328" s="64" t="s">
        <v>102</v>
      </c>
      <c r="C328" s="74" t="s">
        <v>76</v>
      </c>
      <c r="D328" s="65">
        <f>D314-69</f>
        <v>2361</v>
      </c>
      <c r="E328" s="66">
        <f>E314-69</f>
        <v>2361</v>
      </c>
      <c r="F328" s="66">
        <f>F314-69</f>
        <v>2361</v>
      </c>
      <c r="G328" s="66">
        <f>G314-69</f>
        <v>2361</v>
      </c>
      <c r="H328" s="67">
        <f>H314-69</f>
        <v>2361</v>
      </c>
    </row>
    <row r="329" spans="1:8" ht="15.75" thickBot="1" x14ac:dyDescent="0.3"/>
    <row r="330" spans="1:8" x14ac:dyDescent="0.25">
      <c r="B330" s="107" t="s">
        <v>9</v>
      </c>
      <c r="C330" s="110" t="s">
        <v>98</v>
      </c>
      <c r="D330" s="111"/>
      <c r="E330" s="111"/>
      <c r="F330" s="111"/>
      <c r="G330" s="111"/>
      <c r="H330" s="112"/>
    </row>
    <row r="331" spans="1:8" x14ac:dyDescent="0.25">
      <c r="B331" s="108"/>
      <c r="C331" s="113" t="s">
        <v>11</v>
      </c>
      <c r="D331" s="114"/>
      <c r="E331" s="114"/>
      <c r="F331" s="114"/>
      <c r="G331" s="114"/>
      <c r="H331" s="115"/>
    </row>
    <row r="332" spans="1:8" ht="15.75" thickBot="1" x14ac:dyDescent="0.3">
      <c r="B332" s="108"/>
      <c r="C332" s="100" t="s">
        <v>12</v>
      </c>
      <c r="D332" s="101" t="s">
        <v>13</v>
      </c>
      <c r="E332" s="101" t="s">
        <v>14</v>
      </c>
      <c r="F332" s="101" t="s">
        <v>15</v>
      </c>
      <c r="G332" s="101" t="s">
        <v>15</v>
      </c>
      <c r="H332" s="102" t="s">
        <v>16</v>
      </c>
    </row>
    <row r="333" spans="1:8" ht="18.75" x14ac:dyDescent="0.3">
      <c r="A333" s="23" t="str">
        <f>CONCATENATE($C$330,$C$331,B333)</f>
        <v>Grand подвеснойсо шлегелемВысота двери</v>
      </c>
      <c r="B333" s="33" t="s">
        <v>17</v>
      </c>
      <c r="C333" s="34" t="s">
        <v>74</v>
      </c>
      <c r="D333" s="35">
        <f>$B$3-70</f>
        <v>2430</v>
      </c>
      <c r="E333" s="35">
        <f t="shared" ref="E333:H333" si="52">$B$3-70</f>
        <v>2430</v>
      </c>
      <c r="F333" s="35">
        <f t="shared" si="52"/>
        <v>2430</v>
      </c>
      <c r="G333" s="35">
        <f t="shared" si="52"/>
        <v>2430</v>
      </c>
      <c r="H333" s="35">
        <f t="shared" si="52"/>
        <v>2430</v>
      </c>
    </row>
    <row r="334" spans="1:8" ht="18.75" x14ac:dyDescent="0.3">
      <c r="A334" s="23" t="str">
        <f t="shared" ref="A334:A347" si="53">CONCATENATE($C$330,$C$331,B334)</f>
        <v>Grand подвеснойсо шлегелемШирина двери (2 двери)                                           I-----____I</v>
      </c>
      <c r="B334" s="38" t="s">
        <v>112</v>
      </c>
      <c r="C334" s="39" t="s">
        <v>87</v>
      </c>
      <c r="D334" s="40">
        <f>($B$5+60-8)/2</f>
        <v>1026</v>
      </c>
      <c r="E334" s="41"/>
      <c r="F334" s="41"/>
      <c r="G334" s="41"/>
      <c r="H334" s="42"/>
    </row>
    <row r="335" spans="1:8" ht="18.75" x14ac:dyDescent="0.3">
      <c r="A335" s="23" t="str">
        <f t="shared" si="53"/>
        <v>Grand подвеснойсо шлегелемШирина двери (3 двери)                                    I-----____-----I</v>
      </c>
      <c r="B335" s="38" t="s">
        <v>111</v>
      </c>
      <c r="C335" s="39" t="s">
        <v>88</v>
      </c>
      <c r="D335" s="40"/>
      <c r="E335" s="41">
        <f>($B$5+60*2-8)/3</f>
        <v>704</v>
      </c>
      <c r="F335" s="41"/>
      <c r="G335" s="41"/>
      <c r="H335" s="42"/>
    </row>
    <row r="336" spans="1:8" ht="18.75" x14ac:dyDescent="0.3">
      <c r="A336" s="23" t="str">
        <f t="shared" si="53"/>
        <v>Grand подвеснойсо шлегелемШирина двери (4 двери) 1 вариант     I----- ____ -----____I</v>
      </c>
      <c r="B336" s="38" t="s">
        <v>109</v>
      </c>
      <c r="C336" s="39" t="s">
        <v>89</v>
      </c>
      <c r="D336" s="40"/>
      <c r="E336" s="41"/>
      <c r="F336" s="41">
        <f>($B$5+60*3-8)/4</f>
        <v>543</v>
      </c>
      <c r="G336" s="41"/>
      <c r="H336" s="42"/>
    </row>
    <row r="337" spans="1:8" ht="18.75" x14ac:dyDescent="0.3">
      <c r="A337" s="23" t="str">
        <f t="shared" si="53"/>
        <v>Grand подвеснойсо шлегелемШирина двери (4 двери) 2 вариант     I-----____  ____-----I</v>
      </c>
      <c r="B337" s="38" t="s">
        <v>108</v>
      </c>
      <c r="C337" s="39" t="s">
        <v>90</v>
      </c>
      <c r="D337" s="40"/>
      <c r="E337" s="41"/>
      <c r="F337" s="41"/>
      <c r="G337" s="41">
        <f>($B$5+60*2-8)/4</f>
        <v>528</v>
      </c>
      <c r="H337" s="42"/>
    </row>
    <row r="338" spans="1:8" ht="19.5" thickBot="1" x14ac:dyDescent="0.35">
      <c r="A338" s="23" t="str">
        <f t="shared" si="53"/>
        <v>Grand подвеснойсо шлегелемШирина двери (5 дверей)                  I-----____-----____-----I</v>
      </c>
      <c r="B338" s="43" t="s">
        <v>110</v>
      </c>
      <c r="C338" s="44" t="s">
        <v>91</v>
      </c>
      <c r="D338" s="45"/>
      <c r="E338" s="46"/>
      <c r="F338" s="46"/>
      <c r="G338" s="46"/>
      <c r="H338" s="47">
        <f>($B$5+60*4-8)/5</f>
        <v>446.4</v>
      </c>
    </row>
    <row r="339" spans="1:8" ht="15.75" thickBot="1" x14ac:dyDescent="0.3">
      <c r="A339" s="23" t="str">
        <f t="shared" si="53"/>
        <v>Grand подвеснойсо шлегелемРельс верхний, мм</v>
      </c>
      <c r="B339" s="48" t="s">
        <v>103</v>
      </c>
      <c r="C339" s="72" t="s">
        <v>115</v>
      </c>
      <c r="D339" s="49">
        <f>$B$5</f>
        <v>2000</v>
      </c>
      <c r="E339" s="49">
        <f t="shared" ref="E339:H339" si="54">$B$5</f>
        <v>2000</v>
      </c>
      <c r="F339" s="49">
        <f t="shared" si="54"/>
        <v>2000</v>
      </c>
      <c r="G339" s="49">
        <f t="shared" si="54"/>
        <v>2000</v>
      </c>
      <c r="H339" s="49">
        <f t="shared" si="54"/>
        <v>2000</v>
      </c>
    </row>
    <row r="340" spans="1:8" ht="15.75" thickBot="1" x14ac:dyDescent="0.3">
      <c r="A340" s="23" t="str">
        <f t="shared" si="53"/>
        <v>Grand подвеснойсо шлегелемРельс нижний, мм</v>
      </c>
      <c r="B340" s="50" t="s">
        <v>104</v>
      </c>
      <c r="C340" s="72"/>
      <c r="D340" s="49"/>
      <c r="E340" s="49"/>
      <c r="F340" s="49"/>
      <c r="G340" s="49"/>
      <c r="H340" s="49"/>
    </row>
    <row r="341" spans="1:8" ht="15.75" thickBot="1" x14ac:dyDescent="0.3">
      <c r="A341" s="23" t="str">
        <f t="shared" si="53"/>
        <v>Grand подвеснойсо шлегелемГоризонт верхний, мм</v>
      </c>
      <c r="B341" s="50" t="s">
        <v>105</v>
      </c>
      <c r="C341" s="72" t="s">
        <v>92</v>
      </c>
      <c r="D341" s="51">
        <f>D334-120</f>
        <v>906</v>
      </c>
      <c r="E341" s="52">
        <f>E335-120</f>
        <v>584</v>
      </c>
      <c r="F341" s="52">
        <f>F336-120</f>
        <v>423</v>
      </c>
      <c r="G341" s="52">
        <f>G337-120</f>
        <v>408</v>
      </c>
      <c r="H341" s="53">
        <f>H338-120</f>
        <v>326.39999999999998</v>
      </c>
    </row>
    <row r="342" spans="1:8" ht="15.75" thickBot="1" x14ac:dyDescent="0.3">
      <c r="A342" s="23" t="str">
        <f t="shared" si="53"/>
        <v>Grand подвеснойсо шлегелемГоризонт нижний, мм</v>
      </c>
      <c r="B342" s="50" t="s">
        <v>106</v>
      </c>
      <c r="C342" s="72" t="s">
        <v>92</v>
      </c>
      <c r="D342" s="51">
        <f>D334-120</f>
        <v>906</v>
      </c>
      <c r="E342" s="52">
        <f>E335-120</f>
        <v>584</v>
      </c>
      <c r="F342" s="52">
        <f>F336-120</f>
        <v>423</v>
      </c>
      <c r="G342" s="52">
        <f>G337-120</f>
        <v>408</v>
      </c>
      <c r="H342" s="53">
        <f>H338-120</f>
        <v>326.39999999999998</v>
      </c>
    </row>
    <row r="343" spans="1:8" ht="15.75" thickBot="1" x14ac:dyDescent="0.3">
      <c r="A343" s="23" t="str">
        <f t="shared" si="53"/>
        <v>Grand подвеснойсо шлегелемСоединительный профиль, мм</v>
      </c>
      <c r="B343" s="54" t="s">
        <v>107</v>
      </c>
      <c r="C343" s="72" t="s">
        <v>92</v>
      </c>
      <c r="D343" s="51">
        <f>D334-120</f>
        <v>906</v>
      </c>
      <c r="E343" s="52">
        <f>E335-120</f>
        <v>584</v>
      </c>
      <c r="F343" s="52">
        <f>F336-120</f>
        <v>423</v>
      </c>
      <c r="G343" s="52">
        <f>G337-120</f>
        <v>408</v>
      </c>
      <c r="H343" s="53">
        <f>H339-120</f>
        <v>1880</v>
      </c>
    </row>
    <row r="344" spans="1:8" ht="15.75" x14ac:dyDescent="0.25">
      <c r="A344" s="23" t="str">
        <f t="shared" si="53"/>
        <v>Grand подвеснойсо шлегелемРазмер заполнения ЛДСП   L, мм</v>
      </c>
      <c r="B344" s="55" t="s">
        <v>99</v>
      </c>
      <c r="C344" s="68" t="s">
        <v>83</v>
      </c>
      <c r="D344" s="69">
        <f>D334-100</f>
        <v>926</v>
      </c>
      <c r="E344" s="69">
        <f>E335-100</f>
        <v>604</v>
      </c>
      <c r="F344" s="69">
        <f>F336-100</f>
        <v>443</v>
      </c>
      <c r="G344" s="69">
        <f>G337-100</f>
        <v>428</v>
      </c>
      <c r="H344" s="69">
        <f>H338-100</f>
        <v>346.4</v>
      </c>
    </row>
    <row r="345" spans="1:8" ht="15.75" x14ac:dyDescent="0.25">
      <c r="A345" s="23" t="str">
        <f t="shared" si="53"/>
        <v>Grand подвеснойсо шлегелемРазмер заполнения ЛДСП   H, мм</v>
      </c>
      <c r="B345" s="59" t="s">
        <v>100</v>
      </c>
      <c r="C345" s="39" t="s">
        <v>75</v>
      </c>
      <c r="D345" s="60">
        <f>D333-67</f>
        <v>2363</v>
      </c>
      <c r="E345" s="61">
        <f>E333-67</f>
        <v>2363</v>
      </c>
      <c r="F345" s="61">
        <f>F333-67</f>
        <v>2363</v>
      </c>
      <c r="G345" s="61">
        <f>G333-67</f>
        <v>2363</v>
      </c>
      <c r="H345" s="62">
        <f>H333-67</f>
        <v>2363</v>
      </c>
    </row>
    <row r="346" spans="1:8" ht="15.75" x14ac:dyDescent="0.25">
      <c r="A346" s="23" t="str">
        <f t="shared" si="53"/>
        <v>Grand подвеснойсо шлегелемРазмер заполнения  зеркало/стекло  L, мм</v>
      </c>
      <c r="B346" s="63" t="s">
        <v>101</v>
      </c>
      <c r="C346" s="39" t="s">
        <v>85</v>
      </c>
      <c r="D346" s="60">
        <f>D334-102</f>
        <v>924</v>
      </c>
      <c r="E346" s="60">
        <f>E335-102</f>
        <v>602</v>
      </c>
      <c r="F346" s="60">
        <f>F336-102</f>
        <v>441</v>
      </c>
      <c r="G346" s="60">
        <f>G337-102</f>
        <v>426</v>
      </c>
      <c r="H346" s="60">
        <f>H338-102</f>
        <v>344.4</v>
      </c>
    </row>
    <row r="347" spans="1:8" ht="16.5" thickBot="1" x14ac:dyDescent="0.3">
      <c r="A347" s="23" t="str">
        <f t="shared" si="53"/>
        <v>Grand подвеснойсо шлегелемРазмер заполнения  зеркало/стекло  H, мм</v>
      </c>
      <c r="B347" s="64" t="s">
        <v>102</v>
      </c>
      <c r="C347" s="44" t="s">
        <v>76</v>
      </c>
      <c r="D347" s="65">
        <f>D333-69</f>
        <v>2361</v>
      </c>
      <c r="E347" s="66">
        <f>E333-69</f>
        <v>2361</v>
      </c>
      <c r="F347" s="66">
        <f>F333-69</f>
        <v>2361</v>
      </c>
      <c r="G347" s="66">
        <f>G333-69</f>
        <v>2361</v>
      </c>
      <c r="H347" s="67">
        <f>H333-69</f>
        <v>2361</v>
      </c>
    </row>
    <row r="348" spans="1:8" ht="15.75" thickBot="1" x14ac:dyDescent="0.3"/>
    <row r="349" spans="1:8" x14ac:dyDescent="0.25">
      <c r="B349" s="107" t="s">
        <v>9</v>
      </c>
      <c r="C349" s="110" t="s">
        <v>138</v>
      </c>
      <c r="D349" s="111"/>
      <c r="E349" s="111"/>
      <c r="F349" s="111"/>
      <c r="G349" s="111"/>
      <c r="H349" s="112"/>
    </row>
    <row r="350" spans="1:8" x14ac:dyDescent="0.25">
      <c r="B350" s="108"/>
      <c r="C350" s="113" t="s">
        <v>10</v>
      </c>
      <c r="D350" s="114"/>
      <c r="E350" s="114"/>
      <c r="F350" s="114"/>
      <c r="G350" s="114"/>
      <c r="H350" s="115"/>
    </row>
    <row r="351" spans="1:8" ht="15.75" thickBot="1" x14ac:dyDescent="0.3">
      <c r="B351" s="108"/>
      <c r="C351" s="100" t="s">
        <v>12</v>
      </c>
      <c r="D351" s="101" t="s">
        <v>13</v>
      </c>
      <c r="E351" s="101" t="s">
        <v>14</v>
      </c>
      <c r="F351" s="101" t="s">
        <v>15</v>
      </c>
      <c r="G351" s="101" t="s">
        <v>15</v>
      </c>
      <c r="H351" s="102" t="s">
        <v>16</v>
      </c>
    </row>
    <row r="352" spans="1:8" ht="18.75" x14ac:dyDescent="0.3">
      <c r="A352" s="23" t="str">
        <f>CONCATENATE($C$349,$C$350,B352)</f>
        <v>Slenderбез шлегеляВысота двери</v>
      </c>
      <c r="B352" s="33" t="s">
        <v>17</v>
      </c>
      <c r="C352" s="34" t="s">
        <v>18</v>
      </c>
      <c r="D352" s="35">
        <f>$B$3-40</f>
        <v>2460</v>
      </c>
      <c r="E352" s="35">
        <f t="shared" ref="E352:H352" si="55">$B$3-40</f>
        <v>2460</v>
      </c>
      <c r="F352" s="35">
        <f t="shared" si="55"/>
        <v>2460</v>
      </c>
      <c r="G352" s="35">
        <f t="shared" si="55"/>
        <v>2460</v>
      </c>
      <c r="H352" s="35">
        <f t="shared" si="55"/>
        <v>2460</v>
      </c>
    </row>
    <row r="353" spans="1:8" ht="18.75" x14ac:dyDescent="0.3">
      <c r="A353" s="23" t="str">
        <f t="shared" ref="A353:A366" si="56">CONCATENATE($C$349,$C$350,B353)</f>
        <v>Slenderбез шлегеляШирина двери (2 двери)                                           I-----____I</v>
      </c>
      <c r="B353" s="38" t="s">
        <v>112</v>
      </c>
      <c r="C353" s="39" t="s">
        <v>120</v>
      </c>
      <c r="D353" s="40">
        <f>($B$5+10)/2</f>
        <v>1005</v>
      </c>
      <c r="E353" s="41"/>
      <c r="F353" s="41"/>
      <c r="G353" s="41"/>
      <c r="H353" s="42"/>
    </row>
    <row r="354" spans="1:8" ht="18.75" x14ac:dyDescent="0.3">
      <c r="A354" s="23" t="str">
        <f t="shared" si="56"/>
        <v>Slenderбез шлегеляШирина двери (3 двери)                                    I-----____-----I</v>
      </c>
      <c r="B354" s="38" t="s">
        <v>111</v>
      </c>
      <c r="C354" s="39" t="s">
        <v>122</v>
      </c>
      <c r="D354" s="40"/>
      <c r="E354" s="40">
        <f>($B$5+10*2)/3</f>
        <v>673.33333333333337</v>
      </c>
      <c r="F354" s="41"/>
      <c r="G354" s="41"/>
      <c r="H354" s="42"/>
    </row>
    <row r="355" spans="1:8" ht="18.75" x14ac:dyDescent="0.3">
      <c r="A355" s="23" t="str">
        <f t="shared" si="56"/>
        <v>Slenderбез шлегеляШирина двери (4 двери) 1 вариант     I----- ____ -----____I</v>
      </c>
      <c r="B355" s="38" t="s">
        <v>109</v>
      </c>
      <c r="C355" s="39" t="s">
        <v>121</v>
      </c>
      <c r="D355" s="40"/>
      <c r="E355" s="41"/>
      <c r="F355" s="40">
        <f>($B$5+10*3)/4</f>
        <v>507.5</v>
      </c>
      <c r="G355" s="41"/>
      <c r="H355" s="42"/>
    </row>
    <row r="356" spans="1:8" ht="18.75" x14ac:dyDescent="0.3">
      <c r="A356" s="23" t="str">
        <f t="shared" si="56"/>
        <v>Slenderбез шлегеляШирина двери (4 двери) 2 вариант     I-----____  ____-----I</v>
      </c>
      <c r="B356" s="38" t="s">
        <v>108</v>
      </c>
      <c r="C356" s="39" t="s">
        <v>123</v>
      </c>
      <c r="D356" s="40"/>
      <c r="E356" s="41"/>
      <c r="F356" s="41"/>
      <c r="G356" s="40">
        <f>($B$5+10*2)/4</f>
        <v>505</v>
      </c>
      <c r="H356" s="42"/>
    </row>
    <row r="357" spans="1:8" ht="19.5" thickBot="1" x14ac:dyDescent="0.35">
      <c r="A357" s="23" t="str">
        <f t="shared" si="56"/>
        <v>Slenderбез шлегеляШирина двери (5 дверей)                  I-----____-----____-----I</v>
      </c>
      <c r="B357" s="43" t="s">
        <v>110</v>
      </c>
      <c r="C357" s="44" t="s">
        <v>124</v>
      </c>
      <c r="D357" s="45"/>
      <c r="E357" s="46"/>
      <c r="F357" s="46"/>
      <c r="G357" s="46"/>
      <c r="H357" s="40">
        <f>($B$5+10*4)/5</f>
        <v>408</v>
      </c>
    </row>
    <row r="358" spans="1:8" ht="15.75" thickBot="1" x14ac:dyDescent="0.3">
      <c r="A358" s="23" t="str">
        <f t="shared" si="56"/>
        <v>Slenderбез шлегеляРельс верхний, мм</v>
      </c>
      <c r="B358" s="48" t="s">
        <v>103</v>
      </c>
      <c r="C358" s="72" t="s">
        <v>115</v>
      </c>
      <c r="D358" s="49">
        <f>$B$5</f>
        <v>2000</v>
      </c>
      <c r="E358" s="49">
        <f t="shared" ref="E358:H359" si="57">$B$5</f>
        <v>2000</v>
      </c>
      <c r="F358" s="49">
        <f t="shared" si="57"/>
        <v>2000</v>
      </c>
      <c r="G358" s="49">
        <f t="shared" si="57"/>
        <v>2000</v>
      </c>
      <c r="H358" s="49">
        <f t="shared" si="57"/>
        <v>2000</v>
      </c>
    </row>
    <row r="359" spans="1:8" ht="15.75" thickBot="1" x14ac:dyDescent="0.3">
      <c r="A359" s="23" t="str">
        <f t="shared" si="56"/>
        <v>Slenderбез шлегеляРельс нижний, мм</v>
      </c>
      <c r="B359" s="50" t="s">
        <v>104</v>
      </c>
      <c r="C359" s="72" t="s">
        <v>115</v>
      </c>
      <c r="D359" s="49">
        <f>$B$5</f>
        <v>2000</v>
      </c>
      <c r="E359" s="49">
        <f t="shared" si="57"/>
        <v>2000</v>
      </c>
      <c r="F359" s="49">
        <f t="shared" si="57"/>
        <v>2000</v>
      </c>
      <c r="G359" s="49">
        <f t="shared" si="57"/>
        <v>2000</v>
      </c>
      <c r="H359" s="49">
        <f t="shared" si="57"/>
        <v>2000</v>
      </c>
    </row>
    <row r="360" spans="1:8" ht="15.75" thickBot="1" x14ac:dyDescent="0.3">
      <c r="A360" s="23" t="str">
        <f t="shared" si="56"/>
        <v>Slenderбез шлегеляГоризонт верхний, мм</v>
      </c>
      <c r="B360" s="50" t="s">
        <v>105</v>
      </c>
      <c r="C360" s="72" t="s">
        <v>125</v>
      </c>
      <c r="D360" s="51">
        <f>D353-20</f>
        <v>985</v>
      </c>
      <c r="E360" s="51">
        <f>E354-20</f>
        <v>653.33333333333337</v>
      </c>
      <c r="F360" s="51">
        <f>F355-20</f>
        <v>487.5</v>
      </c>
      <c r="G360" s="51">
        <f>G356-20</f>
        <v>485</v>
      </c>
      <c r="H360" s="51">
        <f>H357-20</f>
        <v>388</v>
      </c>
    </row>
    <row r="361" spans="1:8" ht="15.75" thickBot="1" x14ac:dyDescent="0.3">
      <c r="A361" s="23" t="str">
        <f t="shared" si="56"/>
        <v>Slenderбез шлегеляГоризонт нижний, мм</v>
      </c>
      <c r="B361" s="50" t="s">
        <v>106</v>
      </c>
      <c r="C361" s="72" t="s">
        <v>125</v>
      </c>
      <c r="D361" s="51">
        <f>D353-20</f>
        <v>985</v>
      </c>
      <c r="E361" s="51">
        <f>E354-20</f>
        <v>653.33333333333337</v>
      </c>
      <c r="F361" s="51">
        <f>F355-20</f>
        <v>487.5</v>
      </c>
      <c r="G361" s="51">
        <f>G356-20</f>
        <v>485</v>
      </c>
      <c r="H361" s="51">
        <f>H357-20</f>
        <v>388</v>
      </c>
    </row>
    <row r="362" spans="1:8" ht="15.75" thickBot="1" x14ac:dyDescent="0.3">
      <c r="A362" s="23" t="str">
        <f t="shared" si="56"/>
        <v>Slenderбез шлегеляСоединительный профиль, мм</v>
      </c>
      <c r="B362" s="54" t="s">
        <v>107</v>
      </c>
      <c r="C362" s="72" t="s">
        <v>125</v>
      </c>
      <c r="D362" s="51">
        <f>D353-20</f>
        <v>985</v>
      </c>
      <c r="E362" s="51">
        <f>E354-20</f>
        <v>653.33333333333337</v>
      </c>
      <c r="F362" s="51">
        <f>F355-20</f>
        <v>487.5</v>
      </c>
      <c r="G362" s="51">
        <f>G356-20</f>
        <v>485</v>
      </c>
      <c r="H362" s="51">
        <f>H357-20</f>
        <v>388</v>
      </c>
    </row>
    <row r="363" spans="1:8" ht="15.75" x14ac:dyDescent="0.25">
      <c r="A363" s="23" t="str">
        <f t="shared" si="56"/>
        <v>Slenderбез шлегеляРазмер заполнения ЛДСП   L, мм</v>
      </c>
      <c r="B363" s="55" t="s">
        <v>99</v>
      </c>
      <c r="C363" s="68" t="s">
        <v>126</v>
      </c>
      <c r="D363" s="69">
        <f>D353-4</f>
        <v>1001</v>
      </c>
      <c r="E363" s="69">
        <f>E354-4</f>
        <v>669.33333333333337</v>
      </c>
      <c r="F363" s="69">
        <f>F355-4</f>
        <v>503.5</v>
      </c>
      <c r="G363" s="69">
        <f>G356-4</f>
        <v>501</v>
      </c>
      <c r="H363" s="69">
        <f>H357-4</f>
        <v>404</v>
      </c>
    </row>
    <row r="364" spans="1:8" ht="15.75" x14ac:dyDescent="0.25">
      <c r="A364" s="23" t="str">
        <f t="shared" si="56"/>
        <v>Slenderбез шлегеляРазмер заполнения ЛДСП   H, мм</v>
      </c>
      <c r="B364" s="59" t="s">
        <v>100</v>
      </c>
      <c r="C364" s="39" t="s">
        <v>127</v>
      </c>
      <c r="D364" s="60">
        <f>D352-3</f>
        <v>2457</v>
      </c>
      <c r="E364" s="60">
        <f>E352-3</f>
        <v>2457</v>
      </c>
      <c r="F364" s="60">
        <f>F352-3</f>
        <v>2457</v>
      </c>
      <c r="G364" s="60">
        <f t="shared" ref="G364:H364" si="58">G352-3</f>
        <v>2457</v>
      </c>
      <c r="H364" s="60">
        <f t="shared" si="58"/>
        <v>2457</v>
      </c>
    </row>
    <row r="365" spans="1:8" ht="15.75" x14ac:dyDescent="0.25">
      <c r="A365" s="23" t="str">
        <f t="shared" si="56"/>
        <v>Slenderбез шлегеляРазмер заполнения  зеркало/стекло  L, мм</v>
      </c>
      <c r="B365" s="63" t="s">
        <v>101</v>
      </c>
      <c r="C365" s="39" t="s">
        <v>128</v>
      </c>
      <c r="D365" s="60">
        <f>D353-6</f>
        <v>999</v>
      </c>
      <c r="E365" s="60">
        <f>E354-6</f>
        <v>667.33333333333337</v>
      </c>
      <c r="F365" s="60">
        <f>F355-6</f>
        <v>501.5</v>
      </c>
      <c r="G365" s="60">
        <f>G356-6</f>
        <v>499</v>
      </c>
      <c r="H365" s="60">
        <f>H357-6</f>
        <v>402</v>
      </c>
    </row>
    <row r="366" spans="1:8" ht="16.5" thickBot="1" x14ac:dyDescent="0.3">
      <c r="A366" s="23" t="str">
        <f t="shared" si="56"/>
        <v>Slenderбез шлегеляРазмер заполнения  зеркало/стекло  H, мм</v>
      </c>
      <c r="B366" s="64" t="s">
        <v>102</v>
      </c>
      <c r="C366" s="44" t="s">
        <v>129</v>
      </c>
      <c r="D366" s="65">
        <f>D352-5</f>
        <v>2455</v>
      </c>
      <c r="E366" s="65">
        <f t="shared" ref="E366:H366" si="59">E352-5</f>
        <v>2455</v>
      </c>
      <c r="F366" s="65">
        <f t="shared" si="59"/>
        <v>2455</v>
      </c>
      <c r="G366" s="65">
        <f t="shared" si="59"/>
        <v>2455</v>
      </c>
      <c r="H366" s="65">
        <f t="shared" si="59"/>
        <v>2455</v>
      </c>
    </row>
    <row r="367" spans="1:8" ht="15.75" thickBot="1" x14ac:dyDescent="0.3"/>
    <row r="368" spans="1:8" x14ac:dyDescent="0.25">
      <c r="B368" s="107" t="s">
        <v>9</v>
      </c>
      <c r="C368" s="110" t="s">
        <v>138</v>
      </c>
      <c r="D368" s="111"/>
      <c r="E368" s="111"/>
      <c r="F368" s="111"/>
      <c r="G368" s="111"/>
      <c r="H368" s="112"/>
    </row>
    <row r="369" spans="1:8" x14ac:dyDescent="0.25">
      <c r="B369" s="108"/>
      <c r="C369" s="113" t="s">
        <v>11</v>
      </c>
      <c r="D369" s="114"/>
      <c r="E369" s="114"/>
      <c r="F369" s="114"/>
      <c r="G369" s="114"/>
      <c r="H369" s="115"/>
    </row>
    <row r="370" spans="1:8" ht="15.75" thickBot="1" x14ac:dyDescent="0.3">
      <c r="B370" s="108"/>
      <c r="C370" s="100" t="s">
        <v>12</v>
      </c>
      <c r="D370" s="101" t="s">
        <v>13</v>
      </c>
      <c r="E370" s="101" t="s">
        <v>14</v>
      </c>
      <c r="F370" s="101" t="s">
        <v>15</v>
      </c>
      <c r="G370" s="101" t="s">
        <v>15</v>
      </c>
      <c r="H370" s="102" t="s">
        <v>16</v>
      </c>
    </row>
    <row r="371" spans="1:8" ht="18.75" x14ac:dyDescent="0.3">
      <c r="A371" s="23" t="str">
        <f>CONCATENATE($C$368,$C$369,B371)</f>
        <v>Slenderсо шлегелемВысота двери</v>
      </c>
      <c r="B371" s="33" t="s">
        <v>17</v>
      </c>
      <c r="C371" s="34" t="s">
        <v>18</v>
      </c>
      <c r="D371" s="35">
        <f>$B$3-40</f>
        <v>2460</v>
      </c>
      <c r="E371" s="35">
        <f t="shared" ref="E371:H371" si="60">$B$3-40</f>
        <v>2460</v>
      </c>
      <c r="F371" s="35">
        <f t="shared" si="60"/>
        <v>2460</v>
      </c>
      <c r="G371" s="35">
        <f t="shared" si="60"/>
        <v>2460</v>
      </c>
      <c r="H371" s="35">
        <f t="shared" si="60"/>
        <v>2460</v>
      </c>
    </row>
    <row r="372" spans="1:8" ht="18.75" x14ac:dyDescent="0.3">
      <c r="A372" s="23" t="str">
        <f t="shared" ref="A372:A385" si="61">CONCATENATE($C$368,$C$369,B372)</f>
        <v>Slenderсо шлегелемШирина двери (2 двери)                                           I-----____I</v>
      </c>
      <c r="B372" s="38" t="s">
        <v>112</v>
      </c>
      <c r="C372" s="39" t="s">
        <v>116</v>
      </c>
      <c r="D372" s="40">
        <f>($B$5+10-8)/2</f>
        <v>1001</v>
      </c>
      <c r="E372" s="41"/>
      <c r="F372" s="41"/>
      <c r="G372" s="41"/>
      <c r="H372" s="42"/>
    </row>
    <row r="373" spans="1:8" ht="18.75" x14ac:dyDescent="0.3">
      <c r="A373" s="23" t="str">
        <f t="shared" si="61"/>
        <v>Slenderсо шлегелемШирина двери (3 двери)                                    I-----____-----I</v>
      </c>
      <c r="B373" s="38" t="s">
        <v>111</v>
      </c>
      <c r="C373" s="39" t="s">
        <v>117</v>
      </c>
      <c r="D373" s="40"/>
      <c r="E373" s="40">
        <f>($B$5+10*2-8)/3</f>
        <v>670.66666666666663</v>
      </c>
      <c r="F373" s="41"/>
      <c r="G373" s="41"/>
      <c r="H373" s="42"/>
    </row>
    <row r="374" spans="1:8" ht="18.75" x14ac:dyDescent="0.3">
      <c r="A374" s="23" t="str">
        <f t="shared" si="61"/>
        <v>Slenderсо шлегелемШирина двери (4 двери) 1 вариант     I----- ____ -----____I</v>
      </c>
      <c r="B374" s="38" t="s">
        <v>109</v>
      </c>
      <c r="C374" s="39" t="s">
        <v>118</v>
      </c>
      <c r="D374" s="40"/>
      <c r="E374" s="41"/>
      <c r="F374" s="40">
        <f>($B$5+10*3-8)/4</f>
        <v>505.5</v>
      </c>
      <c r="G374" s="41"/>
      <c r="H374" s="42"/>
    </row>
    <row r="375" spans="1:8" ht="18.75" x14ac:dyDescent="0.3">
      <c r="A375" s="23" t="str">
        <f t="shared" si="61"/>
        <v>Slenderсо шлегелемШирина двери (4 двери) 2 вариант     I-----____  ____-----I</v>
      </c>
      <c r="B375" s="38" t="s">
        <v>108</v>
      </c>
      <c r="C375" s="39" t="s">
        <v>119</v>
      </c>
      <c r="D375" s="40"/>
      <c r="E375" s="41"/>
      <c r="F375" s="41"/>
      <c r="G375" s="40">
        <f>($B$5+10*2-8)/4</f>
        <v>503</v>
      </c>
      <c r="H375" s="42"/>
    </row>
    <row r="376" spans="1:8" ht="19.5" thickBot="1" x14ac:dyDescent="0.35">
      <c r="A376" s="23" t="str">
        <f t="shared" si="61"/>
        <v>Slenderсо шлегелемШирина двери (5 дверей)                  I-----____-----____-----I</v>
      </c>
      <c r="B376" s="43" t="s">
        <v>110</v>
      </c>
      <c r="C376" s="44" t="s">
        <v>130</v>
      </c>
      <c r="D376" s="45"/>
      <c r="E376" s="46"/>
      <c r="F376" s="46"/>
      <c r="G376" s="46"/>
      <c r="H376" s="40">
        <f>($B$5+10*4-8)/5</f>
        <v>406.4</v>
      </c>
    </row>
    <row r="377" spans="1:8" ht="15.75" thickBot="1" x14ac:dyDescent="0.3">
      <c r="A377" s="23" t="str">
        <f t="shared" si="61"/>
        <v>Slenderсо шлегелемРельс верхний, мм</v>
      </c>
      <c r="B377" s="48" t="s">
        <v>103</v>
      </c>
      <c r="C377" s="72" t="s">
        <v>115</v>
      </c>
      <c r="D377" s="49">
        <f>$B$5</f>
        <v>2000</v>
      </c>
      <c r="E377" s="49">
        <f t="shared" ref="E377:H378" si="62">$B$5</f>
        <v>2000</v>
      </c>
      <c r="F377" s="49">
        <f t="shared" si="62"/>
        <v>2000</v>
      </c>
      <c r="G377" s="49">
        <f t="shared" si="62"/>
        <v>2000</v>
      </c>
      <c r="H377" s="49">
        <f t="shared" si="62"/>
        <v>2000</v>
      </c>
    </row>
    <row r="378" spans="1:8" ht="15.75" thickBot="1" x14ac:dyDescent="0.3">
      <c r="A378" s="23" t="str">
        <f t="shared" si="61"/>
        <v>Slenderсо шлегелемРельс нижний, мм</v>
      </c>
      <c r="B378" s="50" t="s">
        <v>104</v>
      </c>
      <c r="C378" s="72" t="s">
        <v>115</v>
      </c>
      <c r="D378" s="49">
        <f>$B$5</f>
        <v>2000</v>
      </c>
      <c r="E378" s="49">
        <f t="shared" si="62"/>
        <v>2000</v>
      </c>
      <c r="F378" s="49">
        <f t="shared" si="62"/>
        <v>2000</v>
      </c>
      <c r="G378" s="49">
        <f t="shared" si="62"/>
        <v>2000</v>
      </c>
      <c r="H378" s="49">
        <f t="shared" si="62"/>
        <v>2000</v>
      </c>
    </row>
    <row r="379" spans="1:8" ht="15.75" thickBot="1" x14ac:dyDescent="0.3">
      <c r="A379" s="23" t="str">
        <f t="shared" si="61"/>
        <v>Slenderсо шлегелемГоризонт верхний, мм</v>
      </c>
      <c r="B379" s="50" t="s">
        <v>105</v>
      </c>
      <c r="C379" s="72" t="s">
        <v>125</v>
      </c>
      <c r="D379" s="51">
        <f>D372-20</f>
        <v>981</v>
      </c>
      <c r="E379" s="51">
        <f>E373-20</f>
        <v>650.66666666666663</v>
      </c>
      <c r="F379" s="51">
        <f>F374-20</f>
        <v>485.5</v>
      </c>
      <c r="G379" s="51">
        <f>G375-20</f>
        <v>483</v>
      </c>
      <c r="H379" s="51">
        <f>H376-20</f>
        <v>386.4</v>
      </c>
    </row>
    <row r="380" spans="1:8" ht="15.75" thickBot="1" x14ac:dyDescent="0.3">
      <c r="A380" s="23" t="str">
        <f t="shared" si="61"/>
        <v>Slenderсо шлегелемГоризонт нижний, мм</v>
      </c>
      <c r="B380" s="50" t="s">
        <v>106</v>
      </c>
      <c r="C380" s="72" t="s">
        <v>125</v>
      </c>
      <c r="D380" s="51">
        <f>D372-20</f>
        <v>981</v>
      </c>
      <c r="E380" s="51">
        <f>E373-20</f>
        <v>650.66666666666663</v>
      </c>
      <c r="F380" s="51">
        <f>F374-20</f>
        <v>485.5</v>
      </c>
      <c r="G380" s="51">
        <f>G375-20</f>
        <v>483</v>
      </c>
      <c r="H380" s="51">
        <f>H376-20</f>
        <v>386.4</v>
      </c>
    </row>
    <row r="381" spans="1:8" ht="15.75" thickBot="1" x14ac:dyDescent="0.3">
      <c r="A381" s="23" t="str">
        <f t="shared" si="61"/>
        <v>Slenderсо шлегелемСоединительный профиль, мм</v>
      </c>
      <c r="B381" s="54" t="s">
        <v>107</v>
      </c>
      <c r="C381" s="72" t="s">
        <v>125</v>
      </c>
      <c r="D381" s="51">
        <f>D372-20</f>
        <v>981</v>
      </c>
      <c r="E381" s="51">
        <f>E373-20</f>
        <v>650.66666666666663</v>
      </c>
      <c r="F381" s="51">
        <f>F374-20</f>
        <v>485.5</v>
      </c>
      <c r="G381" s="51">
        <f>G375-20</f>
        <v>483</v>
      </c>
      <c r="H381" s="51">
        <f>H376-20</f>
        <v>386.4</v>
      </c>
    </row>
    <row r="382" spans="1:8" ht="15.75" x14ac:dyDescent="0.25">
      <c r="A382" s="23" t="str">
        <f t="shared" si="61"/>
        <v>Slenderсо шлегелемРазмер заполнения ЛДСП   L, мм</v>
      </c>
      <c r="B382" s="55" t="s">
        <v>99</v>
      </c>
      <c r="C382" s="68" t="s">
        <v>126</v>
      </c>
      <c r="D382" s="69">
        <f>D372-4</f>
        <v>997</v>
      </c>
      <c r="E382" s="69">
        <f>E373-4</f>
        <v>666.66666666666663</v>
      </c>
      <c r="F382" s="69">
        <f>F374-4</f>
        <v>501.5</v>
      </c>
      <c r="G382" s="69">
        <f>G375-4</f>
        <v>499</v>
      </c>
      <c r="H382" s="69">
        <f>H376-4</f>
        <v>402.4</v>
      </c>
    </row>
    <row r="383" spans="1:8" ht="15.75" x14ac:dyDescent="0.25">
      <c r="A383" s="23" t="str">
        <f t="shared" si="61"/>
        <v>Slenderсо шлегелемРазмер заполнения ЛДСП   H, мм</v>
      </c>
      <c r="B383" s="59" t="s">
        <v>100</v>
      </c>
      <c r="C383" s="39" t="s">
        <v>127</v>
      </c>
      <c r="D383" s="60">
        <f>D371-3</f>
        <v>2457</v>
      </c>
      <c r="E383" s="60">
        <f>E371-3</f>
        <v>2457</v>
      </c>
      <c r="F383" s="60">
        <f>F371-3</f>
        <v>2457</v>
      </c>
      <c r="G383" s="60">
        <f t="shared" ref="G383:H383" si="63">G371-3</f>
        <v>2457</v>
      </c>
      <c r="H383" s="60">
        <f t="shared" si="63"/>
        <v>2457</v>
      </c>
    </row>
    <row r="384" spans="1:8" ht="15.75" x14ac:dyDescent="0.25">
      <c r="A384" s="23" t="str">
        <f t="shared" si="61"/>
        <v>Slenderсо шлегелемРазмер заполнения  зеркало/стекло  L, мм</v>
      </c>
      <c r="B384" s="63" t="s">
        <v>101</v>
      </c>
      <c r="C384" s="39" t="s">
        <v>128</v>
      </c>
      <c r="D384" s="60">
        <f>D372-6</f>
        <v>995</v>
      </c>
      <c r="E384" s="60">
        <f>E373-6</f>
        <v>664.66666666666663</v>
      </c>
      <c r="F384" s="60">
        <f>F374-6</f>
        <v>499.5</v>
      </c>
      <c r="G384" s="60">
        <f>G375-6</f>
        <v>497</v>
      </c>
      <c r="H384" s="60">
        <f>H376-6</f>
        <v>400.4</v>
      </c>
    </row>
    <row r="385" spans="1:8" ht="16.5" thickBot="1" x14ac:dyDescent="0.3">
      <c r="A385" s="23" t="str">
        <f t="shared" si="61"/>
        <v>Slenderсо шлегелемРазмер заполнения  зеркало/стекло  H, мм</v>
      </c>
      <c r="B385" s="64" t="s">
        <v>102</v>
      </c>
      <c r="C385" s="44" t="s">
        <v>129</v>
      </c>
      <c r="D385" s="65">
        <f>D371-5</f>
        <v>2455</v>
      </c>
      <c r="E385" s="65">
        <f t="shared" ref="E385:H385" si="64">E371-5</f>
        <v>2455</v>
      </c>
      <c r="F385" s="65">
        <f t="shared" si="64"/>
        <v>2455</v>
      </c>
      <c r="G385" s="65">
        <f t="shared" si="64"/>
        <v>2455</v>
      </c>
      <c r="H385" s="65">
        <f t="shared" si="64"/>
        <v>2455</v>
      </c>
    </row>
    <row r="386" spans="1:8" ht="15.75" thickBot="1" x14ac:dyDescent="0.3"/>
    <row r="387" spans="1:8" x14ac:dyDescent="0.25">
      <c r="B387" s="107" t="s">
        <v>9</v>
      </c>
      <c r="C387" s="110" t="s">
        <v>139</v>
      </c>
      <c r="D387" s="111"/>
      <c r="E387" s="111"/>
      <c r="F387" s="111"/>
      <c r="G387" s="111"/>
      <c r="H387" s="112"/>
    </row>
    <row r="388" spans="1:8" x14ac:dyDescent="0.25">
      <c r="B388" s="108"/>
      <c r="C388" s="113" t="s">
        <v>10</v>
      </c>
      <c r="D388" s="114"/>
      <c r="E388" s="114"/>
      <c r="F388" s="114"/>
      <c r="G388" s="114"/>
      <c r="H388" s="115"/>
    </row>
    <row r="389" spans="1:8" ht="15.75" thickBot="1" x14ac:dyDescent="0.3">
      <c r="B389" s="108"/>
      <c r="C389" s="100" t="s">
        <v>12</v>
      </c>
      <c r="D389" s="101" t="s">
        <v>13</v>
      </c>
      <c r="E389" s="101" t="s">
        <v>14</v>
      </c>
      <c r="F389" s="101" t="s">
        <v>15</v>
      </c>
      <c r="G389" s="101" t="s">
        <v>15</v>
      </c>
      <c r="H389" s="102" t="s">
        <v>16</v>
      </c>
    </row>
    <row r="390" spans="1:8" ht="18.75" x14ac:dyDescent="0.3">
      <c r="A390" s="23" t="str">
        <f>CONCATENATE($C$387,$C$388,B390)</f>
        <v>Magicбез шлегеляВысота двери</v>
      </c>
      <c r="B390" s="33" t="s">
        <v>17</v>
      </c>
      <c r="C390" s="34" t="s">
        <v>18</v>
      </c>
      <c r="D390" s="35">
        <f>$B$3-40</f>
        <v>2460</v>
      </c>
      <c r="E390" s="35">
        <f t="shared" ref="E390:H390" si="65">$B$3-40</f>
        <v>2460</v>
      </c>
      <c r="F390" s="35">
        <f t="shared" si="65"/>
        <v>2460</v>
      </c>
      <c r="G390" s="35">
        <f t="shared" si="65"/>
        <v>2460</v>
      </c>
      <c r="H390" s="35">
        <f t="shared" si="65"/>
        <v>2460</v>
      </c>
    </row>
    <row r="391" spans="1:8" ht="18.75" x14ac:dyDescent="0.3">
      <c r="A391" s="23" t="str">
        <f t="shared" ref="A391:A404" si="66">CONCATENATE($C$387,$C$388,B391)</f>
        <v>Magicбез шлегеляШирина двери (2 двери)                                           I-----____I</v>
      </c>
      <c r="B391" s="38" t="s">
        <v>112</v>
      </c>
      <c r="C391" s="39" t="s">
        <v>120</v>
      </c>
      <c r="D391" s="40">
        <f>($B$5+10)/2</f>
        <v>1005</v>
      </c>
      <c r="E391" s="41"/>
      <c r="F391" s="41"/>
      <c r="G391" s="41"/>
      <c r="H391" s="42"/>
    </row>
    <row r="392" spans="1:8" ht="18.75" x14ac:dyDescent="0.3">
      <c r="A392" s="23" t="str">
        <f t="shared" si="66"/>
        <v>Magicбез шлегеляШирина двери (3 двери)                                    I-----____-----I</v>
      </c>
      <c r="B392" s="38" t="s">
        <v>111</v>
      </c>
      <c r="C392" s="39" t="s">
        <v>122</v>
      </c>
      <c r="D392" s="40"/>
      <c r="E392" s="40">
        <f>($B$5+10*2)/3</f>
        <v>673.33333333333337</v>
      </c>
      <c r="F392" s="41"/>
      <c r="G392" s="41"/>
      <c r="H392" s="42"/>
    </row>
    <row r="393" spans="1:8" ht="18.75" x14ac:dyDescent="0.3">
      <c r="A393" s="23" t="str">
        <f t="shared" si="66"/>
        <v>Magicбез шлегеляШирина двери (4 двери) 1 вариант     I----- ____ -----____I</v>
      </c>
      <c r="B393" s="38" t="s">
        <v>109</v>
      </c>
      <c r="C393" s="39" t="s">
        <v>121</v>
      </c>
      <c r="D393" s="40"/>
      <c r="E393" s="41"/>
      <c r="F393" s="40">
        <f>($B$5+10*3)/4</f>
        <v>507.5</v>
      </c>
      <c r="G393" s="41"/>
      <c r="H393" s="42"/>
    </row>
    <row r="394" spans="1:8" ht="18.75" x14ac:dyDescent="0.3">
      <c r="A394" s="23" t="str">
        <f t="shared" si="66"/>
        <v>Magicбез шлегеляШирина двери (4 двери) 2 вариант     I-----____  ____-----I</v>
      </c>
      <c r="B394" s="38" t="s">
        <v>108</v>
      </c>
      <c r="C394" s="39" t="s">
        <v>123</v>
      </c>
      <c r="D394" s="40"/>
      <c r="E394" s="41"/>
      <c r="F394" s="41"/>
      <c r="G394" s="40">
        <f>($B$5+10*2)/4</f>
        <v>505</v>
      </c>
      <c r="H394" s="42"/>
    </row>
    <row r="395" spans="1:8" ht="19.5" thickBot="1" x14ac:dyDescent="0.35">
      <c r="A395" s="23" t="str">
        <f t="shared" si="66"/>
        <v>Magicбез шлегеляШирина двери (5 дверей)                  I-----____-----____-----I</v>
      </c>
      <c r="B395" s="43" t="s">
        <v>110</v>
      </c>
      <c r="C395" s="44" t="s">
        <v>124</v>
      </c>
      <c r="D395" s="45"/>
      <c r="E395" s="46"/>
      <c r="F395" s="46"/>
      <c r="G395" s="46"/>
      <c r="H395" s="40">
        <f>($B$5+10*4)/5</f>
        <v>408</v>
      </c>
    </row>
    <row r="396" spans="1:8" ht="15.75" thickBot="1" x14ac:dyDescent="0.3">
      <c r="A396" s="23" t="str">
        <f t="shared" si="66"/>
        <v>Magicбез шлегеляРельс верхний, мм</v>
      </c>
      <c r="B396" s="48" t="s">
        <v>103</v>
      </c>
      <c r="C396" s="72" t="s">
        <v>115</v>
      </c>
      <c r="D396" s="49">
        <f>$B$5</f>
        <v>2000</v>
      </c>
      <c r="E396" s="49">
        <f t="shared" ref="E396:H397" si="67">$B$5</f>
        <v>2000</v>
      </c>
      <c r="F396" s="49">
        <f t="shared" si="67"/>
        <v>2000</v>
      </c>
      <c r="G396" s="49">
        <f t="shared" si="67"/>
        <v>2000</v>
      </c>
      <c r="H396" s="49">
        <f t="shared" si="67"/>
        <v>2000</v>
      </c>
    </row>
    <row r="397" spans="1:8" ht="15.75" thickBot="1" x14ac:dyDescent="0.3">
      <c r="A397" s="23" t="str">
        <f t="shared" si="66"/>
        <v>Magicбез шлегеляРельс нижний, мм</v>
      </c>
      <c r="B397" s="50" t="s">
        <v>104</v>
      </c>
      <c r="C397" s="72" t="s">
        <v>115</v>
      </c>
      <c r="D397" s="49">
        <f>$B$5</f>
        <v>2000</v>
      </c>
      <c r="E397" s="49">
        <f t="shared" si="67"/>
        <v>2000</v>
      </c>
      <c r="F397" s="49">
        <f t="shared" si="67"/>
        <v>2000</v>
      </c>
      <c r="G397" s="49">
        <f t="shared" si="67"/>
        <v>2000</v>
      </c>
      <c r="H397" s="49">
        <f t="shared" si="67"/>
        <v>2000</v>
      </c>
    </row>
    <row r="398" spans="1:8" ht="15.75" thickBot="1" x14ac:dyDescent="0.3">
      <c r="A398" s="23" t="str">
        <f t="shared" si="66"/>
        <v>Magicбез шлегеляГоризонт верхний, мм</v>
      </c>
      <c r="B398" s="50" t="s">
        <v>105</v>
      </c>
      <c r="C398" s="72" t="s">
        <v>125</v>
      </c>
      <c r="D398" s="51">
        <f>D391-20</f>
        <v>985</v>
      </c>
      <c r="E398" s="51">
        <f>E392-20</f>
        <v>653.33333333333337</v>
      </c>
      <c r="F398" s="51">
        <f>F393-20</f>
        <v>487.5</v>
      </c>
      <c r="G398" s="51">
        <f>G394-20</f>
        <v>485</v>
      </c>
      <c r="H398" s="51">
        <f>H395-20</f>
        <v>388</v>
      </c>
    </row>
    <row r="399" spans="1:8" ht="15.75" thickBot="1" x14ac:dyDescent="0.3">
      <c r="A399" s="23" t="str">
        <f t="shared" si="66"/>
        <v>Magicбез шлегеляГоризонт нижний, мм</v>
      </c>
      <c r="B399" s="50" t="s">
        <v>106</v>
      </c>
      <c r="C399" s="72" t="s">
        <v>125</v>
      </c>
      <c r="D399" s="51">
        <f>D391-20</f>
        <v>985</v>
      </c>
      <c r="E399" s="51">
        <f>E392-20</f>
        <v>653.33333333333337</v>
      </c>
      <c r="F399" s="51">
        <f>F393-20</f>
        <v>487.5</v>
      </c>
      <c r="G399" s="51">
        <f>G394-20</f>
        <v>485</v>
      </c>
      <c r="H399" s="51">
        <f>H395-20</f>
        <v>388</v>
      </c>
    </row>
    <row r="400" spans="1:8" ht="15.75" thickBot="1" x14ac:dyDescent="0.3">
      <c r="A400" s="23" t="str">
        <f t="shared" si="66"/>
        <v>Magicбез шлегеляСоединительный профиль, мм</v>
      </c>
      <c r="B400" s="54" t="s">
        <v>107</v>
      </c>
      <c r="C400" s="72" t="s">
        <v>125</v>
      </c>
      <c r="D400" s="51">
        <f>D391-20</f>
        <v>985</v>
      </c>
      <c r="E400" s="51">
        <f>E392-20</f>
        <v>653.33333333333337</v>
      </c>
      <c r="F400" s="51">
        <f>F393-20</f>
        <v>487.5</v>
      </c>
      <c r="G400" s="51">
        <f>G394-20</f>
        <v>485</v>
      </c>
      <c r="H400" s="51">
        <f>H395-20</f>
        <v>388</v>
      </c>
    </row>
    <row r="401" spans="1:8" ht="15.75" x14ac:dyDescent="0.25">
      <c r="A401" s="23" t="str">
        <f t="shared" si="66"/>
        <v>Magicбез шлегеляРазмер заполнения ЛДСП   L, мм</v>
      </c>
      <c r="B401" s="55" t="s">
        <v>99</v>
      </c>
      <c r="C401" s="68" t="s">
        <v>126</v>
      </c>
      <c r="D401" s="69">
        <f>D391-4</f>
        <v>1001</v>
      </c>
      <c r="E401" s="69">
        <f>E392-4</f>
        <v>669.33333333333337</v>
      </c>
      <c r="F401" s="69">
        <f>F393-4</f>
        <v>503.5</v>
      </c>
      <c r="G401" s="69">
        <f>G394-4</f>
        <v>501</v>
      </c>
      <c r="H401" s="69">
        <f>H395-4</f>
        <v>404</v>
      </c>
    </row>
    <row r="402" spans="1:8" ht="15.75" x14ac:dyDescent="0.25">
      <c r="A402" s="23" t="str">
        <f t="shared" si="66"/>
        <v>Magicбез шлегеляРазмер заполнения ЛДСП   H, мм</v>
      </c>
      <c r="B402" s="59" t="s">
        <v>100</v>
      </c>
      <c r="C402" s="39" t="s">
        <v>127</v>
      </c>
      <c r="D402" s="60">
        <f>D390-3</f>
        <v>2457</v>
      </c>
      <c r="E402" s="60">
        <f>E390-3</f>
        <v>2457</v>
      </c>
      <c r="F402" s="60">
        <f>F390-3</f>
        <v>2457</v>
      </c>
      <c r="G402" s="60">
        <f t="shared" ref="G402:H402" si="68">G390-3</f>
        <v>2457</v>
      </c>
      <c r="H402" s="60">
        <f t="shared" si="68"/>
        <v>2457</v>
      </c>
    </row>
    <row r="403" spans="1:8" ht="15.75" x14ac:dyDescent="0.25">
      <c r="A403" s="23" t="str">
        <f t="shared" si="66"/>
        <v>Magicбез шлегеляРазмер заполнения  зеркало/стекло  L, мм</v>
      </c>
      <c r="B403" s="63" t="s">
        <v>101</v>
      </c>
      <c r="C403" s="39" t="s">
        <v>128</v>
      </c>
      <c r="D403" s="60">
        <f>D391-6</f>
        <v>999</v>
      </c>
      <c r="E403" s="60">
        <f>E392-6</f>
        <v>667.33333333333337</v>
      </c>
      <c r="F403" s="60">
        <f>F393-6</f>
        <v>501.5</v>
      </c>
      <c r="G403" s="60">
        <f>G394-6</f>
        <v>499</v>
      </c>
      <c r="H403" s="60">
        <f>H395-6</f>
        <v>402</v>
      </c>
    </row>
    <row r="404" spans="1:8" ht="16.5" thickBot="1" x14ac:dyDescent="0.3">
      <c r="A404" s="23" t="str">
        <f t="shared" si="66"/>
        <v>Magicбез шлегеляРазмер заполнения  зеркало/стекло  H, мм</v>
      </c>
      <c r="B404" s="64" t="s">
        <v>102</v>
      </c>
      <c r="C404" s="44" t="s">
        <v>129</v>
      </c>
      <c r="D404" s="65">
        <f>D390-5</f>
        <v>2455</v>
      </c>
      <c r="E404" s="65">
        <f t="shared" ref="E404:H404" si="69">E390-5</f>
        <v>2455</v>
      </c>
      <c r="F404" s="65">
        <f t="shared" si="69"/>
        <v>2455</v>
      </c>
      <c r="G404" s="65">
        <f t="shared" si="69"/>
        <v>2455</v>
      </c>
      <c r="H404" s="65">
        <f t="shared" si="69"/>
        <v>2455</v>
      </c>
    </row>
    <row r="405" spans="1:8" ht="15.75" thickBot="1" x14ac:dyDescent="0.3"/>
    <row r="406" spans="1:8" x14ac:dyDescent="0.25">
      <c r="B406" s="107" t="s">
        <v>9</v>
      </c>
      <c r="C406" s="110" t="s">
        <v>139</v>
      </c>
      <c r="D406" s="111"/>
      <c r="E406" s="111"/>
      <c r="F406" s="111"/>
      <c r="G406" s="111"/>
      <c r="H406" s="112"/>
    </row>
    <row r="407" spans="1:8" x14ac:dyDescent="0.25">
      <c r="B407" s="108"/>
      <c r="C407" s="113" t="s">
        <v>11</v>
      </c>
      <c r="D407" s="114"/>
      <c r="E407" s="114"/>
      <c r="F407" s="114"/>
      <c r="G407" s="114"/>
      <c r="H407" s="115"/>
    </row>
    <row r="408" spans="1:8" ht="15.75" thickBot="1" x14ac:dyDescent="0.3">
      <c r="B408" s="108"/>
      <c r="C408" s="100" t="s">
        <v>12</v>
      </c>
      <c r="D408" s="101" t="s">
        <v>13</v>
      </c>
      <c r="E408" s="101" t="s">
        <v>14</v>
      </c>
      <c r="F408" s="101" t="s">
        <v>15</v>
      </c>
      <c r="G408" s="101" t="s">
        <v>15</v>
      </c>
      <c r="H408" s="102" t="s">
        <v>16</v>
      </c>
    </row>
    <row r="409" spans="1:8" ht="18.75" x14ac:dyDescent="0.3">
      <c r="A409" s="23" t="str">
        <f>CONCATENATE($C$406,$C$407,B409)</f>
        <v>Magicсо шлегелемВысота двери</v>
      </c>
      <c r="B409" s="33" t="s">
        <v>17</v>
      </c>
      <c r="C409" s="34" t="s">
        <v>18</v>
      </c>
      <c r="D409" s="35">
        <f>$B$3-40</f>
        <v>2460</v>
      </c>
      <c r="E409" s="35">
        <f t="shared" ref="E409:H409" si="70">$B$3-40</f>
        <v>2460</v>
      </c>
      <c r="F409" s="35">
        <f t="shared" si="70"/>
        <v>2460</v>
      </c>
      <c r="G409" s="35">
        <f t="shared" si="70"/>
        <v>2460</v>
      </c>
      <c r="H409" s="35">
        <f t="shared" si="70"/>
        <v>2460</v>
      </c>
    </row>
    <row r="410" spans="1:8" ht="18.75" x14ac:dyDescent="0.3">
      <c r="A410" s="23" t="str">
        <f t="shared" ref="A410:A423" si="71">CONCATENATE($C$406,$C$407,B410)</f>
        <v>Magicсо шлегелемШирина двери (2 двери)                                           I-----____I</v>
      </c>
      <c r="B410" s="38" t="s">
        <v>112</v>
      </c>
      <c r="C410" s="39" t="s">
        <v>116</v>
      </c>
      <c r="D410" s="40">
        <f>($B$5+10-8)/2</f>
        <v>1001</v>
      </c>
      <c r="E410" s="41"/>
      <c r="F410" s="41"/>
      <c r="G410" s="41"/>
      <c r="H410" s="42"/>
    </row>
    <row r="411" spans="1:8" ht="18.75" x14ac:dyDescent="0.3">
      <c r="A411" s="23" t="str">
        <f t="shared" si="71"/>
        <v>Magicсо шлегелемШирина двери (3 двери)                                    I-----____-----I</v>
      </c>
      <c r="B411" s="38" t="s">
        <v>111</v>
      </c>
      <c r="C411" s="39" t="s">
        <v>117</v>
      </c>
      <c r="D411" s="40"/>
      <c r="E411" s="40">
        <f>($B$5+10*2-8)/3</f>
        <v>670.66666666666663</v>
      </c>
      <c r="F411" s="41"/>
      <c r="G411" s="41"/>
      <c r="H411" s="42"/>
    </row>
    <row r="412" spans="1:8" ht="18.75" x14ac:dyDescent="0.3">
      <c r="A412" s="23" t="str">
        <f t="shared" si="71"/>
        <v>Magicсо шлегелемШирина двери (4 двери) 1 вариант     I----- ____ -----____I</v>
      </c>
      <c r="B412" s="38" t="s">
        <v>109</v>
      </c>
      <c r="C412" s="39" t="s">
        <v>118</v>
      </c>
      <c r="D412" s="40"/>
      <c r="E412" s="41"/>
      <c r="F412" s="40">
        <f>($B$5+10*3-8)/4</f>
        <v>505.5</v>
      </c>
      <c r="G412" s="41"/>
      <c r="H412" s="42"/>
    </row>
    <row r="413" spans="1:8" ht="18.75" x14ac:dyDescent="0.3">
      <c r="A413" s="23" t="str">
        <f t="shared" si="71"/>
        <v>Magicсо шлегелемШирина двери (4 двери) 2 вариант     I-----____  ____-----I</v>
      </c>
      <c r="B413" s="38" t="s">
        <v>108</v>
      </c>
      <c r="C413" s="39" t="s">
        <v>119</v>
      </c>
      <c r="D413" s="40"/>
      <c r="E413" s="41"/>
      <c r="F413" s="41"/>
      <c r="G413" s="40">
        <f>($B$5+10*2-8)/4</f>
        <v>503</v>
      </c>
      <c r="H413" s="42"/>
    </row>
    <row r="414" spans="1:8" ht="19.5" thickBot="1" x14ac:dyDescent="0.35">
      <c r="A414" s="23" t="str">
        <f t="shared" si="71"/>
        <v>Magicсо шлегелемШирина двери (5 дверей)                  I-----____-----____-----I</v>
      </c>
      <c r="B414" s="43" t="s">
        <v>110</v>
      </c>
      <c r="C414" s="44" t="s">
        <v>130</v>
      </c>
      <c r="D414" s="45"/>
      <c r="E414" s="46"/>
      <c r="F414" s="46"/>
      <c r="G414" s="46"/>
      <c r="H414" s="40">
        <f>($B$5+10*4-8)/5</f>
        <v>406.4</v>
      </c>
    </row>
    <row r="415" spans="1:8" ht="15.75" thickBot="1" x14ac:dyDescent="0.3">
      <c r="A415" s="23" t="str">
        <f t="shared" si="71"/>
        <v>Magicсо шлегелемРельс верхний, мм</v>
      </c>
      <c r="B415" s="48" t="s">
        <v>103</v>
      </c>
      <c r="C415" s="72" t="s">
        <v>115</v>
      </c>
      <c r="D415" s="49">
        <f>$B$5</f>
        <v>2000</v>
      </c>
      <c r="E415" s="49">
        <f t="shared" ref="E415:H416" si="72">$B$5</f>
        <v>2000</v>
      </c>
      <c r="F415" s="49">
        <f t="shared" si="72"/>
        <v>2000</v>
      </c>
      <c r="G415" s="49">
        <f t="shared" si="72"/>
        <v>2000</v>
      </c>
      <c r="H415" s="49">
        <f t="shared" si="72"/>
        <v>2000</v>
      </c>
    </row>
    <row r="416" spans="1:8" ht="15.75" thickBot="1" x14ac:dyDescent="0.3">
      <c r="A416" s="23" t="str">
        <f t="shared" si="71"/>
        <v>Magicсо шлегелемРельс нижний, мм</v>
      </c>
      <c r="B416" s="50" t="s">
        <v>104</v>
      </c>
      <c r="C416" s="72" t="s">
        <v>115</v>
      </c>
      <c r="D416" s="49">
        <f>$B$5</f>
        <v>2000</v>
      </c>
      <c r="E416" s="49">
        <f t="shared" si="72"/>
        <v>2000</v>
      </c>
      <c r="F416" s="49">
        <f t="shared" si="72"/>
        <v>2000</v>
      </c>
      <c r="G416" s="49">
        <f t="shared" si="72"/>
        <v>2000</v>
      </c>
      <c r="H416" s="49">
        <f t="shared" si="72"/>
        <v>2000</v>
      </c>
    </row>
    <row r="417" spans="1:8" ht="15.75" thickBot="1" x14ac:dyDescent="0.3">
      <c r="A417" s="23" t="str">
        <f t="shared" si="71"/>
        <v>Magicсо шлегелемГоризонт верхний, мм</v>
      </c>
      <c r="B417" s="50" t="s">
        <v>105</v>
      </c>
      <c r="C417" s="72" t="s">
        <v>125</v>
      </c>
      <c r="D417" s="51">
        <f>D410-20</f>
        <v>981</v>
      </c>
      <c r="E417" s="51">
        <f>E411-20</f>
        <v>650.66666666666663</v>
      </c>
      <c r="F417" s="51">
        <f>F412-20</f>
        <v>485.5</v>
      </c>
      <c r="G417" s="51">
        <f>G413-20</f>
        <v>483</v>
      </c>
      <c r="H417" s="51">
        <f>H414-20</f>
        <v>386.4</v>
      </c>
    </row>
    <row r="418" spans="1:8" ht="15.75" thickBot="1" x14ac:dyDescent="0.3">
      <c r="A418" s="23" t="str">
        <f t="shared" si="71"/>
        <v>Magicсо шлегелемГоризонт нижний, мм</v>
      </c>
      <c r="B418" s="50" t="s">
        <v>106</v>
      </c>
      <c r="C418" s="72" t="s">
        <v>125</v>
      </c>
      <c r="D418" s="51">
        <f>D410-20</f>
        <v>981</v>
      </c>
      <c r="E418" s="51">
        <f>E411-20</f>
        <v>650.66666666666663</v>
      </c>
      <c r="F418" s="51">
        <f>F412-20</f>
        <v>485.5</v>
      </c>
      <c r="G418" s="51">
        <f>G413-20</f>
        <v>483</v>
      </c>
      <c r="H418" s="51">
        <f>H414-20</f>
        <v>386.4</v>
      </c>
    </row>
    <row r="419" spans="1:8" ht="15.75" thickBot="1" x14ac:dyDescent="0.3">
      <c r="A419" s="23" t="str">
        <f t="shared" si="71"/>
        <v>Magicсо шлегелемСоединительный профиль, мм</v>
      </c>
      <c r="B419" s="54" t="s">
        <v>107</v>
      </c>
      <c r="C419" s="72" t="s">
        <v>125</v>
      </c>
      <c r="D419" s="51">
        <f>D410-20</f>
        <v>981</v>
      </c>
      <c r="E419" s="51">
        <f>E411-20</f>
        <v>650.66666666666663</v>
      </c>
      <c r="F419" s="51">
        <f>F412-20</f>
        <v>485.5</v>
      </c>
      <c r="G419" s="51">
        <f>G413-20</f>
        <v>483</v>
      </c>
      <c r="H419" s="51">
        <f>H414-20</f>
        <v>386.4</v>
      </c>
    </row>
    <row r="420" spans="1:8" ht="15.75" x14ac:dyDescent="0.25">
      <c r="A420" s="23" t="str">
        <f t="shared" si="71"/>
        <v>Magicсо шлегелемРазмер заполнения ЛДСП   L, мм</v>
      </c>
      <c r="B420" s="55" t="s">
        <v>99</v>
      </c>
      <c r="C420" s="68" t="s">
        <v>126</v>
      </c>
      <c r="D420" s="69">
        <f>D410-4</f>
        <v>997</v>
      </c>
      <c r="E420" s="69">
        <f>E411-4</f>
        <v>666.66666666666663</v>
      </c>
      <c r="F420" s="69">
        <f>F412-4</f>
        <v>501.5</v>
      </c>
      <c r="G420" s="69">
        <f>G413-4</f>
        <v>499</v>
      </c>
      <c r="H420" s="69">
        <f>H414-4</f>
        <v>402.4</v>
      </c>
    </row>
    <row r="421" spans="1:8" ht="15.75" x14ac:dyDescent="0.25">
      <c r="A421" s="23" t="str">
        <f t="shared" si="71"/>
        <v>Magicсо шлегелемРазмер заполнения ЛДСП   H, мм</v>
      </c>
      <c r="B421" s="59" t="s">
        <v>100</v>
      </c>
      <c r="C421" s="39" t="s">
        <v>127</v>
      </c>
      <c r="D421" s="60">
        <f>D409-3</f>
        <v>2457</v>
      </c>
      <c r="E421" s="60">
        <f>E409-3</f>
        <v>2457</v>
      </c>
      <c r="F421" s="60">
        <f>F409-3</f>
        <v>2457</v>
      </c>
      <c r="G421" s="60">
        <f t="shared" ref="G421:H421" si="73">G409-3</f>
        <v>2457</v>
      </c>
      <c r="H421" s="60">
        <f t="shared" si="73"/>
        <v>2457</v>
      </c>
    </row>
    <row r="422" spans="1:8" ht="15.75" x14ac:dyDescent="0.25">
      <c r="A422" s="23" t="str">
        <f t="shared" si="71"/>
        <v>Magicсо шлегелемРазмер заполнения  зеркало/стекло  L, мм</v>
      </c>
      <c r="B422" s="63" t="s">
        <v>101</v>
      </c>
      <c r="C422" s="39" t="s">
        <v>128</v>
      </c>
      <c r="D422" s="60">
        <f>D410-6</f>
        <v>995</v>
      </c>
      <c r="E422" s="60">
        <f>E411-6</f>
        <v>664.66666666666663</v>
      </c>
      <c r="F422" s="60">
        <f>F412-6</f>
        <v>499.5</v>
      </c>
      <c r="G422" s="60">
        <f>G413-6</f>
        <v>497</v>
      </c>
      <c r="H422" s="60">
        <f>H414-6</f>
        <v>400.4</v>
      </c>
    </row>
    <row r="423" spans="1:8" ht="16.5" thickBot="1" x14ac:dyDescent="0.3">
      <c r="A423" s="23" t="str">
        <f t="shared" si="71"/>
        <v>Magicсо шлегелемРазмер заполнения  зеркало/стекло  H, мм</v>
      </c>
      <c r="B423" s="64" t="s">
        <v>102</v>
      </c>
      <c r="C423" s="44" t="s">
        <v>129</v>
      </c>
      <c r="D423" s="65">
        <f>D409-5</f>
        <v>2455</v>
      </c>
      <c r="E423" s="65">
        <f t="shared" ref="E423:H423" si="74">E409-5</f>
        <v>2455</v>
      </c>
      <c r="F423" s="65">
        <f t="shared" si="74"/>
        <v>2455</v>
      </c>
      <c r="G423" s="65">
        <f t="shared" si="74"/>
        <v>2455</v>
      </c>
      <c r="H423" s="65">
        <f t="shared" si="74"/>
        <v>2455</v>
      </c>
    </row>
    <row r="424" spans="1:8" ht="15.75" thickBot="1" x14ac:dyDescent="0.3"/>
    <row r="425" spans="1:8" x14ac:dyDescent="0.25">
      <c r="B425" s="107" t="s">
        <v>9</v>
      </c>
      <c r="C425" s="110" t="s">
        <v>140</v>
      </c>
      <c r="D425" s="111"/>
      <c r="E425" s="111"/>
      <c r="F425" s="111"/>
      <c r="G425" s="111"/>
      <c r="H425" s="112"/>
    </row>
    <row r="426" spans="1:8" x14ac:dyDescent="0.25">
      <c r="B426" s="108"/>
      <c r="C426" s="113" t="s">
        <v>10</v>
      </c>
      <c r="D426" s="114"/>
      <c r="E426" s="114"/>
      <c r="F426" s="114"/>
      <c r="G426" s="114"/>
      <c r="H426" s="115"/>
    </row>
    <row r="427" spans="1:8" ht="15.75" thickBot="1" x14ac:dyDescent="0.3">
      <c r="B427" s="109"/>
      <c r="C427" s="100" t="s">
        <v>12</v>
      </c>
      <c r="D427" s="101" t="s">
        <v>13</v>
      </c>
      <c r="E427" s="101" t="s">
        <v>14</v>
      </c>
      <c r="F427" s="101" t="s">
        <v>15</v>
      </c>
      <c r="G427" s="101" t="s">
        <v>15</v>
      </c>
      <c r="H427" s="102" t="s">
        <v>16</v>
      </c>
    </row>
    <row r="428" spans="1:8" ht="18.75" x14ac:dyDescent="0.3">
      <c r="A428" s="23" t="str">
        <f>CONCATENATE($C$425,$C$426,B428)</f>
        <v>Simpleбез шлегеляВысота двери</v>
      </c>
      <c r="B428" s="33" t="s">
        <v>17</v>
      </c>
      <c r="C428" s="34" t="s">
        <v>18</v>
      </c>
      <c r="D428" s="35">
        <f>$B$3-40</f>
        <v>2460</v>
      </c>
      <c r="E428" s="35">
        <f t="shared" ref="E428:H428" si="75">$B$3-40</f>
        <v>2460</v>
      </c>
      <c r="F428" s="35">
        <f t="shared" si="75"/>
        <v>2460</v>
      </c>
      <c r="G428" s="35">
        <f t="shared" si="75"/>
        <v>2460</v>
      </c>
      <c r="H428" s="35">
        <f t="shared" si="75"/>
        <v>2460</v>
      </c>
    </row>
    <row r="429" spans="1:8" ht="18.75" x14ac:dyDescent="0.3">
      <c r="A429" s="23" t="str">
        <f t="shared" ref="A429:A442" si="76">CONCATENATE($C$425,$C$426,B429)</f>
        <v>Simpleбез шлегеляШирина двери (2 двери)                                           I-----____I</v>
      </c>
      <c r="B429" s="38" t="s">
        <v>112</v>
      </c>
      <c r="C429" s="39" t="s">
        <v>141</v>
      </c>
      <c r="D429" s="40">
        <f>($B$5+10)/2</f>
        <v>1005</v>
      </c>
      <c r="E429" s="41"/>
      <c r="F429" s="41"/>
      <c r="G429" s="41"/>
      <c r="H429" s="42"/>
    </row>
    <row r="430" spans="1:8" ht="18.75" x14ac:dyDescent="0.3">
      <c r="A430" s="23" t="str">
        <f t="shared" si="76"/>
        <v>Simpleбез шлегеляШирина двери (3 двери)                                    I-----____-----I</v>
      </c>
      <c r="B430" s="38" t="s">
        <v>111</v>
      </c>
      <c r="C430" s="39" t="s">
        <v>142</v>
      </c>
      <c r="D430" s="40"/>
      <c r="E430" s="40">
        <f>($B$5+10*2)/3</f>
        <v>673.33333333333337</v>
      </c>
      <c r="F430" s="41"/>
      <c r="G430" s="41"/>
      <c r="H430" s="42"/>
    </row>
    <row r="431" spans="1:8" ht="18.75" x14ac:dyDescent="0.3">
      <c r="A431" s="23" t="str">
        <f t="shared" si="76"/>
        <v>Simpleбез шлегеляШирина двери (4 двери) 1 вариант     I----- ____ -----____I</v>
      </c>
      <c r="B431" s="38" t="s">
        <v>109</v>
      </c>
      <c r="C431" s="39" t="s">
        <v>143</v>
      </c>
      <c r="D431" s="40"/>
      <c r="E431" s="41"/>
      <c r="F431" s="40">
        <f>($B$5+10*3)/4</f>
        <v>507.5</v>
      </c>
      <c r="G431" s="41"/>
      <c r="H431" s="42"/>
    </row>
    <row r="432" spans="1:8" ht="18.75" x14ac:dyDescent="0.3">
      <c r="A432" s="23" t="str">
        <f t="shared" si="76"/>
        <v>Simpleбез шлегеляШирина двери (4 двери) 2 вариант     I-----____  ____-----I</v>
      </c>
      <c r="B432" s="38" t="s">
        <v>108</v>
      </c>
      <c r="C432" s="39" t="s">
        <v>144</v>
      </c>
      <c r="D432" s="40"/>
      <c r="E432" s="41"/>
      <c r="F432" s="41"/>
      <c r="G432" s="40">
        <f>($B$5+10*2)/4</f>
        <v>505</v>
      </c>
      <c r="H432" s="42"/>
    </row>
    <row r="433" spans="1:8" ht="19.5" thickBot="1" x14ac:dyDescent="0.35">
      <c r="A433" s="23" t="str">
        <f t="shared" si="76"/>
        <v>Simpleбез шлегеляШирина двери (5 дверей)                  I-----____-----____-----I</v>
      </c>
      <c r="B433" s="43" t="s">
        <v>110</v>
      </c>
      <c r="C433" s="44" t="s">
        <v>145</v>
      </c>
      <c r="D433" s="45"/>
      <c r="E433" s="46"/>
      <c r="F433" s="46"/>
      <c r="G433" s="46"/>
      <c r="H433" s="40">
        <f>($B$5+10*4)/5</f>
        <v>408</v>
      </c>
    </row>
    <row r="434" spans="1:8" ht="15.75" thickBot="1" x14ac:dyDescent="0.3">
      <c r="A434" s="23" t="str">
        <f t="shared" si="76"/>
        <v>Simpleбез шлегеляРельс верхний, мм</v>
      </c>
      <c r="B434" s="48" t="s">
        <v>103</v>
      </c>
      <c r="C434" s="72" t="s">
        <v>115</v>
      </c>
      <c r="D434" s="49">
        <f>$B$5</f>
        <v>2000</v>
      </c>
      <c r="E434" s="49">
        <f t="shared" ref="E434:H435" si="77">$B$5</f>
        <v>2000</v>
      </c>
      <c r="F434" s="49">
        <f t="shared" si="77"/>
        <v>2000</v>
      </c>
      <c r="G434" s="49">
        <f t="shared" si="77"/>
        <v>2000</v>
      </c>
      <c r="H434" s="49">
        <f t="shared" si="77"/>
        <v>2000</v>
      </c>
    </row>
    <row r="435" spans="1:8" ht="15.75" thickBot="1" x14ac:dyDescent="0.3">
      <c r="A435" s="23" t="str">
        <f t="shared" si="76"/>
        <v>Simpleбез шлегеляРельс нижний, мм</v>
      </c>
      <c r="B435" s="50" t="s">
        <v>104</v>
      </c>
      <c r="C435" s="72" t="s">
        <v>115</v>
      </c>
      <c r="D435" s="49">
        <f>$B$5</f>
        <v>2000</v>
      </c>
      <c r="E435" s="49">
        <f t="shared" si="77"/>
        <v>2000</v>
      </c>
      <c r="F435" s="49">
        <f t="shared" si="77"/>
        <v>2000</v>
      </c>
      <c r="G435" s="49">
        <f t="shared" si="77"/>
        <v>2000</v>
      </c>
      <c r="H435" s="49">
        <f t="shared" si="77"/>
        <v>2000</v>
      </c>
    </row>
    <row r="436" spans="1:8" ht="15.75" thickBot="1" x14ac:dyDescent="0.3">
      <c r="A436" s="23" t="str">
        <f t="shared" si="76"/>
        <v>Simpleбез шлегеляГоризонт верхний, мм</v>
      </c>
      <c r="B436" s="50" t="s">
        <v>105</v>
      </c>
      <c r="C436" s="72"/>
      <c r="D436" s="51"/>
      <c r="E436" s="51"/>
      <c r="F436" s="51"/>
      <c r="G436" s="51"/>
      <c r="H436" s="51"/>
    </row>
    <row r="437" spans="1:8" ht="15.75" thickBot="1" x14ac:dyDescent="0.3">
      <c r="A437" s="23" t="str">
        <f t="shared" si="76"/>
        <v>Simpleбез шлегеляГоризонт нижний, мм</v>
      </c>
      <c r="B437" s="50" t="s">
        <v>106</v>
      </c>
      <c r="C437" s="72"/>
      <c r="D437" s="51"/>
      <c r="E437" s="51"/>
      <c r="F437" s="51"/>
      <c r="G437" s="51"/>
      <c r="H437" s="51"/>
    </row>
    <row r="438" spans="1:8" ht="15.75" thickBot="1" x14ac:dyDescent="0.3">
      <c r="A438" s="23" t="str">
        <f t="shared" si="76"/>
        <v>Simpleбез шлегеляСоединительный профиль, мм</v>
      </c>
      <c r="B438" s="54" t="s">
        <v>107</v>
      </c>
      <c r="C438" s="72" t="s">
        <v>146</v>
      </c>
      <c r="D438" s="51">
        <f>D429-18</f>
        <v>987</v>
      </c>
      <c r="E438" s="51">
        <f>E430-18</f>
        <v>655.33333333333337</v>
      </c>
      <c r="F438" s="51">
        <f>F431-18</f>
        <v>489.5</v>
      </c>
      <c r="G438" s="51">
        <f>G432-18</f>
        <v>487</v>
      </c>
      <c r="H438" s="51">
        <f>H433-18</f>
        <v>390</v>
      </c>
    </row>
    <row r="439" spans="1:8" ht="15.75" x14ac:dyDescent="0.25">
      <c r="A439" s="23" t="str">
        <f t="shared" si="76"/>
        <v>Simpleбез шлегеляРазмер заполнения ЛДСП   L, мм</v>
      </c>
      <c r="B439" s="55" t="s">
        <v>99</v>
      </c>
      <c r="C439" s="68" t="s">
        <v>147</v>
      </c>
      <c r="D439" s="69">
        <f>D429-2</f>
        <v>1003</v>
      </c>
      <c r="E439" s="69">
        <f>E430-2</f>
        <v>671.33333333333337</v>
      </c>
      <c r="F439" s="69">
        <f>F431-2</f>
        <v>505.5</v>
      </c>
      <c r="G439" s="69">
        <f>G432-2</f>
        <v>503</v>
      </c>
      <c r="H439" s="69">
        <f>H433-2</f>
        <v>406</v>
      </c>
    </row>
    <row r="440" spans="1:8" ht="15.75" x14ac:dyDescent="0.25">
      <c r="A440" s="23" t="str">
        <f t="shared" si="76"/>
        <v>Simpleбез шлегеляРазмер заполнения ЛДСП   H, мм</v>
      </c>
      <c r="B440" s="59" t="s">
        <v>100</v>
      </c>
      <c r="C440" s="39" t="s">
        <v>148</v>
      </c>
      <c r="D440" s="60">
        <f>D428</f>
        <v>2460</v>
      </c>
      <c r="E440" s="60">
        <f>E428</f>
        <v>2460</v>
      </c>
      <c r="F440" s="60">
        <f>F428</f>
        <v>2460</v>
      </c>
      <c r="G440" s="60">
        <f>G428</f>
        <v>2460</v>
      </c>
      <c r="H440" s="60">
        <f>H428</f>
        <v>2460</v>
      </c>
    </row>
    <row r="441" spans="1:8" ht="15.75" x14ac:dyDescent="0.25">
      <c r="A441" s="23" t="str">
        <f t="shared" si="76"/>
        <v>Simpleбез шлегеляРазмер заполнения  зеркало/стекло  L, мм</v>
      </c>
      <c r="B441" s="63" t="s">
        <v>101</v>
      </c>
      <c r="C441" s="39" t="s">
        <v>128</v>
      </c>
      <c r="D441" s="60"/>
      <c r="E441" s="60"/>
      <c r="F441" s="60"/>
      <c r="G441" s="60"/>
      <c r="H441" s="60"/>
    </row>
    <row r="442" spans="1:8" ht="16.5" thickBot="1" x14ac:dyDescent="0.3">
      <c r="A442" s="23" t="str">
        <f t="shared" si="76"/>
        <v>Simpleбез шлегеляРазмер заполнения  зеркало/стекло  H, мм</v>
      </c>
      <c r="B442" s="64" t="s">
        <v>102</v>
      </c>
      <c r="C442" s="44" t="s">
        <v>129</v>
      </c>
      <c r="D442" s="65"/>
      <c r="E442" s="65"/>
      <c r="F442" s="65"/>
      <c r="G442" s="65"/>
      <c r="H442" s="65"/>
    </row>
    <row r="443" spans="1:8" ht="15.75" thickBot="1" x14ac:dyDescent="0.3"/>
    <row r="444" spans="1:8" x14ac:dyDescent="0.25">
      <c r="B444" s="107" t="s">
        <v>9</v>
      </c>
      <c r="C444" s="110" t="s">
        <v>140</v>
      </c>
      <c r="D444" s="111"/>
      <c r="E444" s="111"/>
      <c r="F444" s="111"/>
      <c r="G444" s="111"/>
      <c r="H444" s="112"/>
    </row>
    <row r="445" spans="1:8" x14ac:dyDescent="0.25">
      <c r="B445" s="108"/>
      <c r="C445" s="113" t="s">
        <v>11</v>
      </c>
      <c r="D445" s="114"/>
      <c r="E445" s="114"/>
      <c r="F445" s="114"/>
      <c r="G445" s="114"/>
      <c r="H445" s="115"/>
    </row>
    <row r="446" spans="1:8" ht="15.75" thickBot="1" x14ac:dyDescent="0.3">
      <c r="B446" s="109"/>
      <c r="C446" s="100" t="s">
        <v>12</v>
      </c>
      <c r="D446" s="101" t="s">
        <v>13</v>
      </c>
      <c r="E446" s="101" t="s">
        <v>14</v>
      </c>
      <c r="F446" s="101" t="s">
        <v>15</v>
      </c>
      <c r="G446" s="101" t="s">
        <v>15</v>
      </c>
      <c r="H446" s="102" t="s">
        <v>16</v>
      </c>
    </row>
    <row r="447" spans="1:8" ht="18.75" x14ac:dyDescent="0.3">
      <c r="A447" s="23" t="str">
        <f>CONCATENATE($C$444,$C$445,B447)</f>
        <v>Simpleсо шлегелемВысота двери</v>
      </c>
      <c r="B447" s="33" t="s">
        <v>17</v>
      </c>
      <c r="C447" s="34" t="s">
        <v>18</v>
      </c>
      <c r="D447" s="35">
        <f>$B$3-40</f>
        <v>2460</v>
      </c>
      <c r="E447" s="35">
        <f t="shared" ref="E447:H447" si="78">$B$3-40</f>
        <v>2460</v>
      </c>
      <c r="F447" s="35">
        <f t="shared" si="78"/>
        <v>2460</v>
      </c>
      <c r="G447" s="35">
        <f t="shared" si="78"/>
        <v>2460</v>
      </c>
      <c r="H447" s="35">
        <f t="shared" si="78"/>
        <v>2460</v>
      </c>
    </row>
    <row r="448" spans="1:8" ht="18.75" x14ac:dyDescent="0.3">
      <c r="A448" s="23" t="str">
        <f t="shared" ref="A448:A461" si="79">CONCATENATE($C$444,$C$445,B448)</f>
        <v>Simpleсо шлегелемШирина двери (2 двери)                                           I-----____I</v>
      </c>
      <c r="B448" s="38" t="s">
        <v>112</v>
      </c>
      <c r="C448" s="39" t="s">
        <v>58</v>
      </c>
      <c r="D448" s="40">
        <f>($B$5+10-8)/2</f>
        <v>1001</v>
      </c>
      <c r="E448" s="41"/>
      <c r="F448" s="41"/>
      <c r="G448" s="41"/>
      <c r="H448" s="42"/>
    </row>
    <row r="449" spans="1:8" ht="18.75" x14ac:dyDescent="0.3">
      <c r="A449" s="23" t="str">
        <f t="shared" si="79"/>
        <v>Simpleсо шлегелемШирина двери (3 двери)                                    I-----____-----I</v>
      </c>
      <c r="B449" s="38" t="s">
        <v>111</v>
      </c>
      <c r="C449" s="39" t="s">
        <v>59</v>
      </c>
      <c r="D449" s="40"/>
      <c r="E449" s="40">
        <f>($B$5+10*2-8)/3</f>
        <v>670.66666666666663</v>
      </c>
      <c r="F449" s="41"/>
      <c r="G449" s="41"/>
      <c r="H449" s="42"/>
    </row>
    <row r="450" spans="1:8" ht="18.75" x14ac:dyDescent="0.3">
      <c r="A450" s="23" t="str">
        <f t="shared" si="79"/>
        <v>Simpleсо шлегелемШирина двери (4 двери) 1 вариант     I----- ____ -----____I</v>
      </c>
      <c r="B450" s="38" t="s">
        <v>109</v>
      </c>
      <c r="C450" s="39" t="s">
        <v>60</v>
      </c>
      <c r="D450" s="40"/>
      <c r="E450" s="41"/>
      <c r="F450" s="40">
        <f>($B$5+10*3-8)/4</f>
        <v>505.5</v>
      </c>
      <c r="G450" s="41"/>
      <c r="H450" s="42"/>
    </row>
    <row r="451" spans="1:8" ht="18.75" x14ac:dyDescent="0.3">
      <c r="A451" s="23" t="str">
        <f t="shared" si="79"/>
        <v>Simpleсо шлегелемШирина двери (4 двери) 2 вариант     I-----____  ____-----I</v>
      </c>
      <c r="B451" s="38" t="s">
        <v>108</v>
      </c>
      <c r="C451" s="39" t="s">
        <v>61</v>
      </c>
      <c r="D451" s="40"/>
      <c r="E451" s="41"/>
      <c r="F451" s="41"/>
      <c r="G451" s="40">
        <f>($B$5+10*2-8)/4</f>
        <v>503</v>
      </c>
      <c r="H451" s="42"/>
    </row>
    <row r="452" spans="1:8" ht="19.5" thickBot="1" x14ac:dyDescent="0.35">
      <c r="A452" s="23" t="str">
        <f t="shared" si="79"/>
        <v>Simpleсо шлегелемШирина двери (5 дверей)                  I-----____-----____-----I</v>
      </c>
      <c r="B452" s="43" t="s">
        <v>110</v>
      </c>
      <c r="C452" s="44" t="s">
        <v>62</v>
      </c>
      <c r="D452" s="45"/>
      <c r="E452" s="46"/>
      <c r="F452" s="46"/>
      <c r="G452" s="46"/>
      <c r="H452" s="40">
        <f>($B$5+10*4-8)/5</f>
        <v>406.4</v>
      </c>
    </row>
    <row r="453" spans="1:8" ht="15.75" thickBot="1" x14ac:dyDescent="0.3">
      <c r="A453" s="23" t="str">
        <f t="shared" si="79"/>
        <v>Simpleсо шлегелемРельс верхний, мм</v>
      </c>
      <c r="B453" s="48" t="s">
        <v>103</v>
      </c>
      <c r="C453" s="72" t="s">
        <v>115</v>
      </c>
      <c r="D453" s="49">
        <f>$B$5</f>
        <v>2000</v>
      </c>
      <c r="E453" s="49">
        <f t="shared" ref="E453:H454" si="80">$B$5</f>
        <v>2000</v>
      </c>
      <c r="F453" s="49">
        <f t="shared" si="80"/>
        <v>2000</v>
      </c>
      <c r="G453" s="49">
        <f t="shared" si="80"/>
        <v>2000</v>
      </c>
      <c r="H453" s="49">
        <f t="shared" si="80"/>
        <v>2000</v>
      </c>
    </row>
    <row r="454" spans="1:8" ht="15.75" thickBot="1" x14ac:dyDescent="0.3">
      <c r="A454" s="23" t="str">
        <f t="shared" si="79"/>
        <v>Simpleсо шлегелемРельс нижний, мм</v>
      </c>
      <c r="B454" s="50" t="s">
        <v>104</v>
      </c>
      <c r="C454" s="72" t="s">
        <v>115</v>
      </c>
      <c r="D454" s="49">
        <f>$B$5</f>
        <v>2000</v>
      </c>
      <c r="E454" s="49">
        <f t="shared" si="80"/>
        <v>2000</v>
      </c>
      <c r="F454" s="49">
        <f t="shared" si="80"/>
        <v>2000</v>
      </c>
      <c r="G454" s="49">
        <f t="shared" si="80"/>
        <v>2000</v>
      </c>
      <c r="H454" s="49">
        <f t="shared" si="80"/>
        <v>2000</v>
      </c>
    </row>
    <row r="455" spans="1:8" ht="15.75" thickBot="1" x14ac:dyDescent="0.3">
      <c r="A455" s="23" t="str">
        <f t="shared" si="79"/>
        <v>Simpleсо шлегелемГоризонт верхний, мм</v>
      </c>
      <c r="B455" s="50" t="s">
        <v>105</v>
      </c>
      <c r="C455" s="72"/>
      <c r="D455" s="51"/>
      <c r="E455" s="51"/>
      <c r="F455" s="51"/>
      <c r="G455" s="51"/>
      <c r="H455" s="51"/>
    </row>
    <row r="456" spans="1:8" ht="15.75" thickBot="1" x14ac:dyDescent="0.3">
      <c r="A456" s="23" t="str">
        <f t="shared" si="79"/>
        <v>Simpleсо шлегелемГоризонт нижний, мм</v>
      </c>
      <c r="B456" s="50" t="s">
        <v>106</v>
      </c>
      <c r="C456" s="72"/>
      <c r="D456" s="51"/>
      <c r="E456" s="51"/>
      <c r="F456" s="51"/>
      <c r="G456" s="51"/>
      <c r="H456" s="51"/>
    </row>
    <row r="457" spans="1:8" ht="15.75" thickBot="1" x14ac:dyDescent="0.3">
      <c r="A457" s="23" t="str">
        <f t="shared" si="79"/>
        <v>Simpleсо шлегелемСоединительный профиль, мм</v>
      </c>
      <c r="B457" s="54" t="s">
        <v>107</v>
      </c>
      <c r="C457" s="72" t="s">
        <v>146</v>
      </c>
      <c r="D457" s="51">
        <f>D448-18</f>
        <v>983</v>
      </c>
      <c r="E457" s="51">
        <f>E449-18</f>
        <v>652.66666666666663</v>
      </c>
      <c r="F457" s="51">
        <f>F450-18</f>
        <v>487.5</v>
      </c>
      <c r="G457" s="51">
        <f>G451-18</f>
        <v>485</v>
      </c>
      <c r="H457" s="51">
        <f>H452-18</f>
        <v>388.4</v>
      </c>
    </row>
    <row r="458" spans="1:8" ht="15.75" x14ac:dyDescent="0.25">
      <c r="A458" s="23" t="str">
        <f t="shared" si="79"/>
        <v>Simpleсо шлегелемРазмер заполнения ЛДСП   L, мм</v>
      </c>
      <c r="B458" s="55" t="s">
        <v>99</v>
      </c>
      <c r="C458" s="68" t="s">
        <v>147</v>
      </c>
      <c r="D458" s="69">
        <f>D448-2</f>
        <v>999</v>
      </c>
      <c r="E458" s="69">
        <f>E449-2</f>
        <v>668.66666666666663</v>
      </c>
      <c r="F458" s="69">
        <f>F450-2</f>
        <v>503.5</v>
      </c>
      <c r="G458" s="69">
        <f>G451-2</f>
        <v>501</v>
      </c>
      <c r="H458" s="69">
        <f>H452-2</f>
        <v>404.4</v>
      </c>
    </row>
    <row r="459" spans="1:8" ht="15.75" x14ac:dyDescent="0.25">
      <c r="A459" s="23" t="str">
        <f t="shared" si="79"/>
        <v>Simpleсо шлегелемРазмер заполнения ЛДСП   H, мм</v>
      </c>
      <c r="B459" s="59" t="s">
        <v>100</v>
      </c>
      <c r="C459" s="39" t="s">
        <v>149</v>
      </c>
      <c r="D459" s="60">
        <f>D447</f>
        <v>2460</v>
      </c>
      <c r="E459" s="60">
        <f>E447</f>
        <v>2460</v>
      </c>
      <c r="F459" s="60">
        <f>F447</f>
        <v>2460</v>
      </c>
      <c r="G459" s="60">
        <f>G447</f>
        <v>2460</v>
      </c>
      <c r="H459" s="60">
        <f>H447</f>
        <v>2460</v>
      </c>
    </row>
    <row r="460" spans="1:8" ht="15.75" x14ac:dyDescent="0.25">
      <c r="A460" s="23" t="str">
        <f t="shared" si="79"/>
        <v>Simpleсо шлегелемРазмер заполнения  зеркало/стекло  L, мм</v>
      </c>
      <c r="B460" s="63" t="s">
        <v>101</v>
      </c>
      <c r="C460" s="39" t="s">
        <v>128</v>
      </c>
      <c r="D460" s="60"/>
      <c r="E460" s="60"/>
      <c r="F460" s="60"/>
      <c r="G460" s="60"/>
      <c r="H460" s="60"/>
    </row>
    <row r="461" spans="1:8" ht="16.5" thickBot="1" x14ac:dyDescent="0.3">
      <c r="A461" s="23" t="str">
        <f t="shared" si="79"/>
        <v>Simpleсо шлегелемРазмер заполнения  зеркало/стекло  H, мм</v>
      </c>
      <c r="B461" s="64" t="s">
        <v>102</v>
      </c>
      <c r="C461" s="44" t="s">
        <v>129</v>
      </c>
      <c r="D461" s="65"/>
      <c r="E461" s="65"/>
      <c r="F461" s="65"/>
      <c r="G461" s="65"/>
      <c r="H461" s="65"/>
    </row>
  </sheetData>
  <sheetProtection formatCells="0" formatColumns="0" formatRows="0" insertColumns="0" insertRows="0" insertHyperlinks="0" deleteColumns="0" deleteRows="0" sort="0" autoFilter="0" pivotTables="0"/>
  <protectedRanges>
    <protectedRange sqref="B2:B5" name="b_1"/>
  </protectedRanges>
  <mergeCells count="76">
    <mergeCell ref="B7:B9"/>
    <mergeCell ref="C8:H8"/>
    <mergeCell ref="C7:H7"/>
    <mergeCell ref="C26:H26"/>
    <mergeCell ref="D2:I2"/>
    <mergeCell ref="D3:H3"/>
    <mergeCell ref="D4:H4"/>
    <mergeCell ref="D5:H5"/>
    <mergeCell ref="B45:B47"/>
    <mergeCell ref="C46:H46"/>
    <mergeCell ref="C45:H45"/>
    <mergeCell ref="B26:B28"/>
    <mergeCell ref="C27:H27"/>
    <mergeCell ref="B64:B66"/>
    <mergeCell ref="C64:H64"/>
    <mergeCell ref="C65:H65"/>
    <mergeCell ref="B83:B85"/>
    <mergeCell ref="B102:B104"/>
    <mergeCell ref="C84:H84"/>
    <mergeCell ref="C103:H103"/>
    <mergeCell ref="C102:H102"/>
    <mergeCell ref="C83:H83"/>
    <mergeCell ref="B121:B123"/>
    <mergeCell ref="B140:B142"/>
    <mergeCell ref="C122:H122"/>
    <mergeCell ref="C141:H141"/>
    <mergeCell ref="C140:H140"/>
    <mergeCell ref="C121:H121"/>
    <mergeCell ref="B159:B161"/>
    <mergeCell ref="B178:B180"/>
    <mergeCell ref="C160:H160"/>
    <mergeCell ref="C179:H179"/>
    <mergeCell ref="C159:H159"/>
    <mergeCell ref="C178:H178"/>
    <mergeCell ref="B197:B199"/>
    <mergeCell ref="B216:B218"/>
    <mergeCell ref="C198:H198"/>
    <mergeCell ref="C217:H217"/>
    <mergeCell ref="C216:H216"/>
    <mergeCell ref="C197:H197"/>
    <mergeCell ref="B235:B237"/>
    <mergeCell ref="B254:B256"/>
    <mergeCell ref="C254:H254"/>
    <mergeCell ref="C235:H235"/>
    <mergeCell ref="C236:H236"/>
    <mergeCell ref="C255:H255"/>
    <mergeCell ref="B273:B275"/>
    <mergeCell ref="B292:B294"/>
    <mergeCell ref="C273:H273"/>
    <mergeCell ref="C292:H292"/>
    <mergeCell ref="C274:H274"/>
    <mergeCell ref="C293:H293"/>
    <mergeCell ref="B311:B313"/>
    <mergeCell ref="B330:B332"/>
    <mergeCell ref="C311:H311"/>
    <mergeCell ref="C312:H312"/>
    <mergeCell ref="C330:H330"/>
    <mergeCell ref="C331:H331"/>
    <mergeCell ref="B349:B351"/>
    <mergeCell ref="C349:H349"/>
    <mergeCell ref="C350:H350"/>
    <mergeCell ref="B368:B370"/>
    <mergeCell ref="C368:H368"/>
    <mergeCell ref="C369:H369"/>
    <mergeCell ref="B387:B389"/>
    <mergeCell ref="C387:H387"/>
    <mergeCell ref="C388:H388"/>
    <mergeCell ref="B406:B408"/>
    <mergeCell ref="C406:H406"/>
    <mergeCell ref="C407:H407"/>
    <mergeCell ref="B425:B427"/>
    <mergeCell ref="C425:H425"/>
    <mergeCell ref="C426:H426"/>
    <mergeCell ref="B444:B446"/>
    <mergeCell ref="C444:H444"/>
    <mergeCell ref="C445:H44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2:C7"/>
  <sheetViews>
    <sheetView workbookViewId="0">
      <selection activeCell="C6" sqref="C6"/>
    </sheetView>
  </sheetViews>
  <sheetFormatPr defaultRowHeight="15" x14ac:dyDescent="0.25"/>
  <cols>
    <col min="1" max="1" width="9.140625" style="105"/>
    <col min="2" max="2" width="14.28515625" style="105" customWidth="1"/>
    <col min="3" max="3" width="9.140625" style="105"/>
    <col min="4" max="16384" width="9.140625" style="17"/>
  </cols>
  <sheetData>
    <row r="2" spans="2:3" ht="18.75" x14ac:dyDescent="0.3">
      <c r="B2" s="106" t="s">
        <v>49</v>
      </c>
    </row>
    <row r="3" spans="2:3" x14ac:dyDescent="0.25">
      <c r="B3" s="105" t="s">
        <v>13</v>
      </c>
      <c r="C3" s="105">
        <v>4</v>
      </c>
    </row>
    <row r="4" spans="2:3" x14ac:dyDescent="0.25">
      <c r="B4" s="105" t="s">
        <v>14</v>
      </c>
      <c r="C4" s="105">
        <v>5</v>
      </c>
    </row>
    <row r="5" spans="2:3" x14ac:dyDescent="0.25">
      <c r="B5" s="105" t="s">
        <v>113</v>
      </c>
      <c r="C5" s="105">
        <v>6</v>
      </c>
    </row>
    <row r="6" spans="2:3" x14ac:dyDescent="0.25">
      <c r="B6" s="105" t="s">
        <v>114</v>
      </c>
      <c r="C6" s="105">
        <v>7</v>
      </c>
    </row>
    <row r="7" spans="2:3" x14ac:dyDescent="0.25">
      <c r="B7" s="105" t="s">
        <v>16</v>
      </c>
      <c r="C7" s="105">
        <v>8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</dc:creator>
  <cp:lastModifiedBy>Oleg</cp:lastModifiedBy>
  <dcterms:created xsi:type="dcterms:W3CDTF">2019-11-22T09:12:19Z</dcterms:created>
  <dcterms:modified xsi:type="dcterms:W3CDTF">2022-08-28T06:06:21Z</dcterms:modified>
</cp:coreProperties>
</file>